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ropbox\GITE\TARIF -SIMILATEUR PRIX\"/>
    </mc:Choice>
  </mc:AlternateContent>
  <xr:revisionPtr revIDLastSave="0" documentId="13_ncr:1_{CAB08A9C-3E04-481D-BD7F-708E17FF8A7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calcul prix séjour" sheetId="14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4" l="1"/>
  <c r="G12" i="14"/>
  <c r="F12" i="14"/>
  <c r="W21" i="14" l="1"/>
  <c r="W20" i="14"/>
  <c r="W19" i="14"/>
  <c r="H17" i="14" l="1"/>
  <c r="G17" i="14"/>
  <c r="F17" i="14"/>
  <c r="I7" i="14" l="1"/>
  <c r="H7" i="14"/>
  <c r="G7" i="14"/>
  <c r="D75" i="14"/>
  <c r="F61" i="14"/>
  <c r="D86" i="14" s="1"/>
  <c r="F62" i="14"/>
  <c r="G86" i="14" s="1"/>
  <c r="H86" i="14" s="1"/>
  <c r="E74" i="14"/>
  <c r="E75" i="14"/>
  <c r="F78" i="14"/>
  <c r="G78" i="14" s="1"/>
  <c r="D79" i="14" l="1"/>
  <c r="E29" i="14"/>
  <c r="E26" i="14"/>
  <c r="E27" i="14" s="1"/>
  <c r="E18" i="14"/>
  <c r="E19" i="14"/>
  <c r="E17" i="14"/>
  <c r="E86" i="14"/>
  <c r="I86" i="14"/>
  <c r="F86" i="14"/>
  <c r="F75" i="14"/>
  <c r="AC86" i="14" l="1"/>
  <c r="AD86" i="14"/>
  <c r="AG86" i="14"/>
  <c r="AL86" i="14"/>
  <c r="AO86" i="14"/>
  <c r="AS86" i="14"/>
  <c r="AH86" i="14"/>
  <c r="AK86" i="14"/>
  <c r="AP86" i="14"/>
  <c r="AV86" i="14"/>
  <c r="AR86" i="14"/>
  <c r="Y87" i="14"/>
  <c r="Z87" i="14"/>
  <c r="F26" i="14"/>
  <c r="F27" i="14" s="1"/>
  <c r="F28" i="14" s="1"/>
  <c r="F29" i="14"/>
  <c r="L86" i="14"/>
  <c r="K86" i="14"/>
  <c r="F15" i="14"/>
  <c r="F19" i="14" s="1"/>
  <c r="F14" i="14"/>
  <c r="F18" i="14" s="1"/>
  <c r="E28" i="14"/>
  <c r="AM86" i="14" l="1"/>
  <c r="AE86" i="14"/>
  <c r="AQ86" i="14"/>
  <c r="AI86" i="14"/>
  <c r="AA86" i="14"/>
  <c r="G26" i="14"/>
  <c r="G27" i="14" s="1"/>
  <c r="G28" i="14" s="1"/>
  <c r="G29" i="14"/>
  <c r="G15" i="14"/>
  <c r="G19" i="14" s="1"/>
  <c r="G14" i="14"/>
  <c r="G18" i="14" s="1"/>
  <c r="H29" i="14" l="1"/>
  <c r="H26" i="14"/>
  <c r="H27" i="14" s="1"/>
  <c r="H28" i="14" s="1"/>
  <c r="H15" i="14"/>
  <c r="H19" i="14" s="1"/>
  <c r="H14" i="14"/>
  <c r="H18" i="14" s="1"/>
  <c r="E24" i="14" l="1"/>
  <c r="V87" i="14" l="1"/>
  <c r="AT86" i="14"/>
  <c r="AU86" i="14" s="1"/>
  <c r="R86" i="14"/>
  <c r="P86" i="14"/>
  <c r="U87" i="14"/>
  <c r="W87" i="14" l="1"/>
  <c r="S86" i="14"/>
  <c r="N86" i="14"/>
  <c r="AW86" i="14" l="1"/>
  <c r="AX86" i="14" s="1"/>
  <c r="AY86" i="14" s="1"/>
  <c r="AZ86" i="14" l="1"/>
  <c r="AZ84" i="14" s="1"/>
  <c r="BA86" i="14" l="1"/>
  <c r="BA84" i="14" s="1"/>
  <c r="F83" i="14" s="1"/>
  <c r="P10" i="14" s="1"/>
  <c r="K66" i="14"/>
  <c r="K67" i="14"/>
  <c r="K68" i="14"/>
  <c r="G23" i="14" l="1"/>
  <c r="F23" i="14"/>
  <c r="H22" i="14"/>
  <c r="G21" i="14"/>
  <c r="F21" i="14"/>
  <c r="H23" i="14"/>
  <c r="G22" i="14"/>
  <c r="F22" i="14"/>
  <c r="H21" i="14"/>
  <c r="K69" i="14"/>
  <c r="K73" i="14" s="1"/>
  <c r="P14" i="14"/>
  <c r="E31" i="14"/>
  <c r="E32" i="14" s="1"/>
  <c r="G24" i="14" l="1"/>
  <c r="H24" i="14"/>
  <c r="F24" i="14"/>
  <c r="E33" i="14"/>
  <c r="E35" i="14"/>
  <c r="E34" i="14"/>
  <c r="E46" i="14"/>
  <c r="F31" i="14"/>
  <c r="F32" i="14" s="1"/>
  <c r="F34" i="14" l="1"/>
  <c r="F35" i="14"/>
  <c r="F46" i="14"/>
  <c r="F33" i="14"/>
  <c r="G31" i="14"/>
  <c r="G32" i="14" s="1"/>
  <c r="G33" i="14" l="1"/>
  <c r="G46" i="14"/>
  <c r="H31" i="14"/>
  <c r="H34" i="14" s="1"/>
  <c r="G35" i="14"/>
  <c r="G34" i="14"/>
  <c r="H33" i="14" l="1"/>
  <c r="H32" i="14"/>
  <c r="H46" i="14"/>
  <c r="H35" i="14"/>
  <c r="G30" i="14" l="1"/>
  <c r="F30" i="14"/>
  <c r="F43" i="14" s="1"/>
  <c r="H30" i="14"/>
  <c r="H47" i="14" s="1"/>
  <c r="E36" i="14"/>
  <c r="E37" i="14" s="1"/>
  <c r="F66" i="14"/>
  <c r="H69" i="14" s="1"/>
  <c r="L60" i="14" l="1"/>
  <c r="G66" i="14"/>
  <c r="G70" i="14" s="1"/>
  <c r="G69" i="14"/>
  <c r="H68" i="14"/>
  <c r="H72" i="14" s="1"/>
  <c r="G68" i="14"/>
  <c r="G72" i="14" s="1"/>
  <c r="G47" i="14"/>
  <c r="G36" i="14"/>
  <c r="G37" i="14" s="1"/>
  <c r="G40" i="14" s="1"/>
  <c r="G41" i="14" s="1"/>
  <c r="H66" i="14"/>
  <c r="H70" i="14" s="1"/>
  <c r="I67" i="14"/>
  <c r="I71" i="14" s="1"/>
  <c r="I69" i="14"/>
  <c r="J67" i="14"/>
  <c r="J71" i="14" s="1"/>
  <c r="H36" i="14"/>
  <c r="H37" i="14" s="1"/>
  <c r="J73" i="14" s="1"/>
  <c r="I66" i="14"/>
  <c r="I70" i="14" s="1"/>
  <c r="H67" i="14"/>
  <c r="H71" i="14" s="1"/>
  <c r="I68" i="14"/>
  <c r="I72" i="14" s="1"/>
  <c r="G67" i="14"/>
  <c r="G71" i="14" s="1"/>
  <c r="F67" i="14"/>
  <c r="G73" i="14"/>
  <c r="E40" i="14"/>
  <c r="E41" i="14" s="1"/>
  <c r="E47" i="14"/>
  <c r="F47" i="14"/>
  <c r="H43" i="14"/>
  <c r="E43" i="14"/>
  <c r="J66" i="14"/>
  <c r="J70" i="14" s="1"/>
  <c r="J68" i="14"/>
  <c r="J72" i="14" s="1"/>
  <c r="F36" i="14"/>
  <c r="F37" i="14" s="1"/>
  <c r="J69" i="14"/>
  <c r="G43" i="14"/>
  <c r="K71" i="14" l="1"/>
  <c r="L69" i="14"/>
  <c r="K72" i="14"/>
  <c r="I73" i="14"/>
  <c r="H40" i="14"/>
  <c r="H41" i="14" s="1"/>
  <c r="K70" i="14"/>
  <c r="L67" i="14"/>
  <c r="L68" i="14"/>
  <c r="F40" i="14"/>
  <c r="F41" i="14" s="1"/>
  <c r="H73" i="14"/>
  <c r="D43" i="14"/>
  <c r="D44" i="14" s="1"/>
  <c r="D47" i="14"/>
  <c r="L66" i="14"/>
  <c r="L73" i="14" l="1"/>
  <c r="K74" i="14" s="1"/>
  <c r="K75" i="14" s="1"/>
  <c r="P12" i="14" s="1"/>
  <c r="D41" i="14"/>
  <c r="C49" i="14" s="1"/>
  <c r="P4" i="14" l="1"/>
  <c r="P6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O12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inscrire le N° correspondant à la couleur de vos dates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0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prix journée pour 4
divisé par 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7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à préciser N48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<sst xmlns="http://schemas.openxmlformats.org/spreadsheetml/2006/main" count="114" uniqueCount="102">
  <si>
    <t>Tarif SAISON</t>
  </si>
  <si>
    <t>PRIX par semaine</t>
  </si>
  <si>
    <t>NOMBRE</t>
  </si>
  <si>
    <t>TOTAL</t>
  </si>
  <si>
    <t xml:space="preserve">Pour 1 ou 2 semaines </t>
  </si>
  <si>
    <t xml:space="preserve">Pour 3 semaines </t>
  </si>
  <si>
    <t xml:space="preserve">Pour 4 semaines </t>
  </si>
  <si>
    <t xml:space="preserve">Prix du séjour </t>
  </si>
  <si>
    <t>PRIX DU SEJOUR</t>
  </si>
  <si>
    <t>Nombre d'animaux :</t>
  </si>
  <si>
    <t>(supplémentaires</t>
  </si>
  <si>
    <t xml:space="preserve">Date d’arrivée : </t>
  </si>
  <si>
    <t>à partir de 17 H 30.</t>
  </si>
  <si>
    <t xml:space="preserve">Date de départ : </t>
  </si>
  <si>
    <r>
      <rPr>
        <sz val="13"/>
        <rFont val="Calibri"/>
        <family val="2"/>
        <scheme val="minor"/>
      </rPr>
      <t xml:space="preserve">Jours supplémentaires </t>
    </r>
    <r>
      <rPr>
        <i/>
        <sz val="13"/>
        <rFont val="Calibri"/>
        <family val="2"/>
        <scheme val="minor"/>
      </rPr>
      <t>(au dela d'une semaine)</t>
    </r>
  </si>
  <si>
    <t>avant 10 H 00.</t>
  </si>
  <si>
    <t>Par jour</t>
  </si>
  <si>
    <t>Début</t>
  </si>
  <si>
    <t>Fin</t>
  </si>
  <si>
    <t>semaines</t>
  </si>
  <si>
    <t>par jour</t>
  </si>
  <si>
    <t>saison</t>
  </si>
  <si>
    <t>prix de base</t>
  </si>
  <si>
    <t>1 &amp; 2</t>
  </si>
  <si>
    <t>base par jour</t>
  </si>
  <si>
    <t>semaine</t>
  </si>
  <si>
    <t>5 jours</t>
  </si>
  <si>
    <t>6 jours</t>
  </si>
  <si>
    <t>courts séjours</t>
  </si>
  <si>
    <t>jour au dela de la semaine</t>
  </si>
  <si>
    <t>saison sur contrat simple</t>
  </si>
  <si>
    <t>Nbre de jours court séjour</t>
  </si>
  <si>
    <t>total</t>
  </si>
  <si>
    <t>Nbre de jours en plus</t>
  </si>
  <si>
    <t>personne supplémentaire</t>
  </si>
  <si>
    <t>durée</t>
  </si>
  <si>
    <t>Taxe de séjour : forfait semaine</t>
  </si>
  <si>
    <t xml:space="preserve">TYPE DE RESERVATION                                                   </t>
  </si>
  <si>
    <t>par semaine pour la Taxe de séjour</t>
  </si>
  <si>
    <t>Dont forfait inclus</t>
  </si>
  <si>
    <t>pour</t>
  </si>
  <si>
    <t>soit/jour</t>
  </si>
  <si>
    <t>2 pers</t>
  </si>
  <si>
    <t>3 pers</t>
  </si>
  <si>
    <t>4 pers</t>
  </si>
  <si>
    <t>Délibération du 9/12/2015</t>
  </si>
  <si>
    <t>meublé**</t>
  </si>
  <si>
    <t>DIFF jour</t>
  </si>
  <si>
    <t>jan</t>
  </si>
  <si>
    <t>fév</t>
  </si>
  <si>
    <t>mars</t>
  </si>
  <si>
    <t>mai</t>
  </si>
  <si>
    <t>juil</t>
  </si>
  <si>
    <t>aout</t>
  </si>
  <si>
    <t>oct</t>
  </si>
  <si>
    <t>déc</t>
  </si>
  <si>
    <t>M</t>
  </si>
  <si>
    <t>S</t>
  </si>
  <si>
    <t>J</t>
  </si>
  <si>
    <t>applicablé</t>
  </si>
  <si>
    <t>chambre  supplémentaire</t>
  </si>
  <si>
    <t>somme</t>
  </si>
  <si>
    <t>Kw EDF</t>
  </si>
  <si>
    <r>
      <t>M</t>
    </r>
    <r>
      <rPr>
        <b/>
        <vertAlign val="superscript"/>
        <sz val="11"/>
        <color rgb="FFFFFFFF"/>
        <rFont val="Calibri"/>
        <family val="2"/>
        <scheme val="minor"/>
      </rPr>
      <t xml:space="preserve">3 </t>
    </r>
    <r>
      <rPr>
        <b/>
        <sz val="11"/>
        <color rgb="FFFFFFFF"/>
        <rFont val="Calibri"/>
        <family val="2"/>
        <scheme val="minor"/>
      </rPr>
      <t>EAU</t>
    </r>
  </si>
  <si>
    <t>Date d'arrivée</t>
  </si>
  <si>
    <t>Seul le prix figurant sur le contrat fera foi.</t>
  </si>
  <si>
    <t>Calcul effectué sous votre seule responabilité.</t>
  </si>
  <si>
    <t>Il n'est pas adapté aux entreprises,</t>
  </si>
  <si>
    <t>Ce simulateur est destiné aux seuls vacanciers.</t>
  </si>
  <si>
    <t>Date de départ</t>
  </si>
  <si>
    <t>Montant donné à titre indicatif</t>
  </si>
  <si>
    <t>ou autres cas particuliers.</t>
  </si>
  <si>
    <t xml:space="preserve"> aux associations, longues durées </t>
  </si>
  <si>
    <t>Cas particuliers, me contacter.</t>
  </si>
  <si>
    <t>jours</t>
  </si>
  <si>
    <t>applicable</t>
  </si>
  <si>
    <t>2 jours</t>
  </si>
  <si>
    <t>3 et 4 jours</t>
  </si>
  <si>
    <t>1 et 2 jours</t>
  </si>
  <si>
    <t>pers sup / semaines</t>
  </si>
  <si>
    <t>appliqué par pers Sup</t>
  </si>
  <si>
    <r>
      <t>Moins d'une semaine</t>
    </r>
    <r>
      <rPr>
        <b/>
        <i/>
        <sz val="12"/>
        <rFont val="Calibri"/>
        <family val="2"/>
        <scheme val="minor"/>
      </rPr>
      <t xml:space="preserve">(2 jours minimum) </t>
    </r>
  </si>
  <si>
    <t>TAXE DE SEJOUR</t>
  </si>
  <si>
    <r>
      <t>séjour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(sans Taxe de Séjour)</t>
    </r>
  </si>
  <si>
    <r>
      <t xml:space="preserve">TAXE DE SEJOUR </t>
    </r>
    <r>
      <rPr>
        <i/>
        <sz val="11"/>
        <color theme="1"/>
        <rFont val="Calibri"/>
        <family val="2"/>
        <scheme val="minor"/>
      </rPr>
      <t xml:space="preserve">(à ajouter) </t>
    </r>
  </si>
  <si>
    <t>Total par adulte</t>
  </si>
  <si>
    <t xml:space="preserve"> Le prix de la nuit indiqué ci-dessous et le prix de la nuit pour une semaine complète. </t>
  </si>
  <si>
    <t>Pour les courts séjour,  il diffère en fonction du nombre de jours.</t>
  </si>
  <si>
    <t>Nbre de personnes de plus de 18 ans</t>
  </si>
  <si>
    <t>Avec Taxe de Séjour comprise</t>
  </si>
  <si>
    <t xml:space="preserve"> Préciser le Nbre de personnes</t>
  </si>
  <si>
    <t>Complétez les 4 cases grisées ci-dessous                                                            à l'aide des tableaux ci contre</t>
  </si>
  <si>
    <t>Soyez les Bienvenus au "Granjou"</t>
  </si>
  <si>
    <t>Hors Taxe de Séjour</t>
  </si>
  <si>
    <t>Pour évaluer le prix de votre séjour</t>
  </si>
  <si>
    <t xml:space="preserve">TAXE ADDITIONNELLE DEPARTEMENT (10%)  </t>
  </si>
  <si>
    <r>
      <t xml:space="preserve">MONTANT TOTAL DE LA TAXE DE SEJOUR </t>
    </r>
    <r>
      <rPr>
        <i/>
        <sz val="11.5"/>
        <color theme="1"/>
        <rFont val="Calibri"/>
        <family val="2"/>
        <scheme val="minor"/>
      </rPr>
      <t xml:space="preserve">(par jour et par personne adulte)  </t>
    </r>
  </si>
  <si>
    <t xml:space="preserve">TAXE de SEJOUR LOCALE  </t>
  </si>
  <si>
    <t>Calculer le PRIX D'UN SEJOUR</t>
  </si>
  <si>
    <t>MAJ calendrier TARIFS</t>
  </si>
  <si>
    <r>
      <t xml:space="preserve">N° Type saison          </t>
    </r>
    <r>
      <rPr>
        <i/>
        <sz val="11"/>
        <color theme="1"/>
        <rFont val="Calibri"/>
        <family val="2"/>
        <scheme val="minor"/>
      </rPr>
      <t>(N°  2, 3 ou 4)</t>
    </r>
  </si>
  <si>
    <t xml:space="preserve">TAXE ADDITIONNELLE REGIONALE (34%)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</si>
</sst>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#,##0\ &quot;€&quot;;[Red]\-#,##0\ &quot;€&quot;"/>
    <numFmt numFmtId="8" formatCode="#,##0.00\ &quot;€&quot;;[Red]\-#,##0.00\ &quot;€&quot;"/>
    <numFmt numFmtId="164" formatCode="[$-40C]d\ mmmm\ yyyy;@"/>
    <numFmt numFmtId="165" formatCode="#,##0\ &quot;€&quot;"/>
    <numFmt numFmtId="166" formatCode="#,##0.00\ &quot;€&quot;"/>
    <numFmt numFmtId="167" formatCode="#,##0.0000\ &quot;€&quot;"/>
    <numFmt numFmtId="168" formatCode="#,##0.0\ &quot;€&quot;"/>
    <numFmt numFmtId="169" formatCode="0.0%"/>
    <numFmt numFmtId="170" formatCode="#,##0.00_ ;[Red]\-#,##0.00\ "/>
    <numFmt numFmtId="171" formatCode="#,##0_ ;[Red]\-#,##0\ "/>
    <numFmt numFmtId="172" formatCode="[$-40C]d\-mmm\-yy;@"/>
    <numFmt numFmtId="173" formatCode="#,##0.000\ &quot;€&quot;"/>
    <numFmt numFmtId="174" formatCode="[$-F800]dddd\,\ mmmm\ dd\,\ yyyy"/>
    <numFmt numFmtId="175" formatCode="#,##0.000\ &quot;€&quot;;[Red]\-#,##0.000\ &quot;€&quot;"/>
  </numFmts>
  <fonts count="61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</font>
    <font>
      <i/>
      <sz val="13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FFFF"/>
      <name val="Calibri"/>
      <family val="2"/>
      <scheme val="minor"/>
    </font>
    <font>
      <b/>
      <vertAlign val="superscript"/>
      <sz val="11"/>
      <color rgb="FFFFFF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i/>
      <sz val="11.5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72"/>
      <color rgb="FFFFC000"/>
      <name val="Informal Roman"/>
      <family val="4"/>
    </font>
    <font>
      <b/>
      <sz val="22"/>
      <color rgb="FFFFC000"/>
      <name val="Calibri"/>
      <family val="2"/>
      <scheme val="minor"/>
    </font>
    <font>
      <b/>
      <sz val="21"/>
      <color rgb="FFFFC000"/>
      <name val="Calibri"/>
      <family val="2"/>
      <scheme val="minor"/>
    </font>
    <font>
      <b/>
      <sz val="28"/>
      <color rgb="FFFFC000"/>
      <name val="Calibri"/>
      <family val="2"/>
      <scheme val="minor"/>
    </font>
    <font>
      <b/>
      <sz val="15"/>
      <color rgb="FFFFC000"/>
      <name val="Calibri"/>
      <family val="2"/>
      <scheme val="minor"/>
    </font>
    <font>
      <b/>
      <sz val="12"/>
      <color indexed="81"/>
      <name val="Tahoma"/>
      <family val="2"/>
    </font>
    <font>
      <b/>
      <i/>
      <sz val="12"/>
      <color rgb="FFFF0000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  <font>
      <b/>
      <i/>
      <sz val="16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thick">
        <color auto="1"/>
      </top>
      <bottom style="dotted">
        <color auto="1"/>
      </bottom>
      <diagonal/>
    </border>
    <border>
      <left style="dotted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auto="1"/>
      </right>
      <top style="thick">
        <color auto="1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dotted">
        <color auto="1"/>
      </left>
      <right style="thick">
        <color indexed="64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dotted">
        <color auto="1"/>
      </left>
      <right style="medium">
        <color auto="1"/>
      </right>
      <top style="thick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thick">
        <color auto="1"/>
      </top>
      <bottom style="dotted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dotted">
        <color indexed="64"/>
      </right>
      <top style="dotted">
        <color indexed="64"/>
      </top>
      <bottom/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medium">
        <color auto="1"/>
      </left>
      <right style="dotted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auto="1"/>
      </bottom>
      <diagonal/>
    </border>
    <border>
      <left style="dotted">
        <color indexed="64"/>
      </left>
      <right/>
      <top style="dotted">
        <color indexed="64"/>
      </top>
      <bottom style="medium">
        <color auto="1"/>
      </bottom>
      <diagonal/>
    </border>
    <border>
      <left/>
      <right/>
      <top style="dotted">
        <color indexed="64"/>
      </top>
      <bottom style="medium">
        <color auto="1"/>
      </bottom>
      <diagonal/>
    </border>
    <border>
      <left/>
      <right style="medium">
        <color auto="1"/>
      </right>
      <top style="dotted">
        <color indexed="64"/>
      </top>
      <bottom style="medium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6" fillId="9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166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164" fontId="7" fillId="3" borderId="0" xfId="0" applyNumberFormat="1" applyFont="1" applyFill="1" applyAlignment="1">
      <alignment horizontal="left" vertical="center"/>
    </xf>
    <xf numFmtId="165" fontId="13" fillId="9" borderId="0" xfId="0" applyNumberFormat="1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1" fontId="15" fillId="9" borderId="0" xfId="0" applyNumberFormat="1" applyFont="1" applyFill="1" applyAlignment="1">
      <alignment horizontal="center" vertical="center"/>
    </xf>
    <xf numFmtId="165" fontId="15" fillId="9" borderId="0" xfId="0" applyNumberFormat="1" applyFont="1" applyFill="1" applyAlignment="1">
      <alignment horizontal="center" vertical="center"/>
    </xf>
    <xf numFmtId="170" fontId="3" fillId="3" borderId="0" xfId="0" applyNumberFormat="1" applyFont="1" applyFill="1" applyAlignment="1">
      <alignment horizontal="center" vertical="center" wrapText="1"/>
    </xf>
    <xf numFmtId="171" fontId="3" fillId="3" borderId="0" xfId="0" applyNumberFormat="1" applyFont="1" applyFill="1" applyAlignment="1">
      <alignment horizontal="center" vertical="center" wrapText="1"/>
    </xf>
    <xf numFmtId="170" fontId="3" fillId="9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9" fillId="3" borderId="0" xfId="0" applyFont="1" applyFill="1" applyAlignment="1">
      <alignment horizontal="center" vertical="center" wrapText="1"/>
    </xf>
    <xf numFmtId="165" fontId="16" fillId="3" borderId="0" xfId="0" applyNumberFormat="1" applyFont="1" applyFill="1" applyAlignment="1">
      <alignment horizontal="center" vertical="center" wrapText="1"/>
    </xf>
    <xf numFmtId="165" fontId="16" fillId="9" borderId="0" xfId="0" applyNumberFormat="1" applyFont="1" applyFill="1" applyAlignment="1">
      <alignment horizontal="center" vertical="center" wrapText="1"/>
    </xf>
    <xf numFmtId="0" fontId="10" fillId="9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2" fontId="0" fillId="3" borderId="0" xfId="0" applyNumberFormat="1" applyFill="1" applyAlignment="1">
      <alignment vertical="center"/>
    </xf>
    <xf numFmtId="1" fontId="0" fillId="3" borderId="0" xfId="0" applyNumberFormat="1" applyFill="1" applyAlignment="1">
      <alignment vertical="center"/>
    </xf>
    <xf numFmtId="0" fontId="29" fillId="3" borderId="4" xfId="0" applyFont="1" applyFill="1" applyBorder="1" applyAlignment="1">
      <alignment horizontal="center" vertical="center"/>
    </xf>
    <xf numFmtId="2" fontId="30" fillId="3" borderId="4" xfId="0" applyNumberFormat="1" applyFont="1" applyFill="1" applyBorder="1" applyAlignment="1">
      <alignment horizontal="center" vertical="center"/>
    </xf>
    <xf numFmtId="2" fontId="30" fillId="3" borderId="5" xfId="0" applyNumberFormat="1" applyFont="1" applyFill="1" applyBorder="1" applyAlignment="1">
      <alignment horizontal="center" vertical="center"/>
    </xf>
    <xf numFmtId="1" fontId="29" fillId="3" borderId="11" xfId="0" applyNumberFormat="1" applyFont="1" applyFill="1" applyBorder="1" applyAlignment="1">
      <alignment horizontal="center" vertical="center"/>
    </xf>
    <xf numFmtId="1" fontId="30" fillId="3" borderId="11" xfId="0" applyNumberFormat="1" applyFont="1" applyFill="1" applyBorder="1" applyAlignment="1">
      <alignment horizontal="center" vertical="center"/>
    </xf>
    <xf numFmtId="1" fontId="30" fillId="3" borderId="12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9" fillId="3" borderId="13" xfId="0" applyFont="1" applyFill="1" applyBorder="1" applyAlignment="1">
      <alignment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left" vertical="center"/>
    </xf>
    <xf numFmtId="0" fontId="0" fillId="3" borderId="0" xfId="0" applyFill="1"/>
    <xf numFmtId="0" fontId="10" fillId="3" borderId="0" xfId="0" applyFont="1" applyFill="1" applyAlignment="1">
      <alignment horizontal="center" vertical="center"/>
    </xf>
    <xf numFmtId="2" fontId="23" fillId="3" borderId="0" xfId="0" applyNumberFormat="1" applyFont="1" applyFill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35" fillId="3" borderId="28" xfId="0" applyFont="1" applyFill="1" applyBorder="1" applyAlignment="1">
      <alignment horizontal="left" vertical="center"/>
    </xf>
    <xf numFmtId="0" fontId="22" fillId="13" borderId="0" xfId="0" applyFont="1" applyFill="1" applyAlignment="1">
      <alignment horizontal="center" vertical="center"/>
    </xf>
    <xf numFmtId="9" fontId="22" fillId="1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22" fillId="2" borderId="0" xfId="0" applyNumberFormat="1" applyFont="1" applyFill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22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26" fillId="0" borderId="0" xfId="0" applyNumberFormat="1" applyFont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10" borderId="0" xfId="0" applyFont="1" applyFill="1" applyAlignment="1">
      <alignment horizontal="center" vertical="center" wrapText="1"/>
    </xf>
    <xf numFmtId="1" fontId="31" fillId="3" borderId="14" xfId="0" applyNumberFormat="1" applyFont="1" applyFill="1" applyBorder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 wrapText="1"/>
    </xf>
    <xf numFmtId="4" fontId="4" fillId="8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4" fontId="4" fillId="14" borderId="0" xfId="0" applyNumberFormat="1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165" fontId="12" fillId="4" borderId="0" xfId="0" applyNumberFormat="1" applyFont="1" applyFill="1" applyAlignment="1">
      <alignment horizontal="center" vertical="center" wrapText="1"/>
    </xf>
    <xf numFmtId="165" fontId="12" fillId="5" borderId="0" xfId="0" applyNumberFormat="1" applyFont="1" applyFill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6" fontId="12" fillId="3" borderId="0" xfId="0" applyNumberFormat="1" applyFont="1" applyFill="1" applyAlignment="1">
      <alignment horizontal="center" vertical="center" wrapText="1"/>
    </xf>
    <xf numFmtId="168" fontId="12" fillId="4" borderId="0" xfId="0" applyNumberFormat="1" applyFont="1" applyFill="1" applyAlignment="1">
      <alignment horizontal="center" vertical="center" wrapText="1"/>
    </xf>
    <xf numFmtId="168" fontId="12" fillId="5" borderId="0" xfId="0" applyNumberFormat="1" applyFont="1" applyFill="1" applyAlignment="1">
      <alignment horizontal="center" vertical="center" wrapText="1"/>
    </xf>
    <xf numFmtId="168" fontId="12" fillId="0" borderId="0" xfId="0" applyNumberFormat="1" applyFont="1" applyAlignment="1">
      <alignment horizontal="center" vertical="center" wrapText="1"/>
    </xf>
    <xf numFmtId="1" fontId="10" fillId="3" borderId="0" xfId="0" applyNumberFormat="1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 wrapText="1"/>
    </xf>
    <xf numFmtId="6" fontId="12" fillId="9" borderId="0" xfId="0" applyNumberFormat="1" applyFont="1" applyFill="1" applyAlignment="1">
      <alignment horizontal="center" vertical="center" wrapText="1"/>
    </xf>
    <xf numFmtId="165" fontId="12" fillId="9" borderId="0" xfId="0" applyNumberFormat="1" applyFont="1" applyFill="1" applyAlignment="1">
      <alignment horizontal="center" vertical="center" wrapText="1"/>
    </xf>
    <xf numFmtId="1" fontId="10" fillId="9" borderId="0" xfId="0" applyNumberFormat="1" applyFont="1" applyFill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6" fillId="3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169" fontId="21" fillId="0" borderId="0" xfId="0" applyNumberFormat="1" applyFont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10" fillId="9" borderId="0" xfId="0" applyFont="1" applyFill="1" applyAlignment="1">
      <alignment horizontal="left" vertical="center"/>
    </xf>
    <xf numFmtId="1" fontId="9" fillId="9" borderId="0" xfId="0" applyNumberFormat="1" applyFont="1" applyFill="1" applyAlignment="1">
      <alignment horizontal="center" vertical="center"/>
    </xf>
    <xf numFmtId="0" fontId="28" fillId="11" borderId="0" xfId="0" applyFont="1" applyFill="1" applyAlignment="1">
      <alignment horizontal="center" vertical="center"/>
    </xf>
    <xf numFmtId="0" fontId="29" fillId="16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172" fontId="28" fillId="12" borderId="0" xfId="0" applyNumberFormat="1" applyFont="1" applyFill="1" applyAlignment="1">
      <alignment horizontal="center" vertical="center"/>
    </xf>
    <xf numFmtId="0" fontId="28" fillId="16" borderId="0" xfId="0" applyFont="1" applyFill="1" applyAlignment="1">
      <alignment horizontal="center" vertical="center"/>
    </xf>
    <xf numFmtId="0" fontId="29" fillId="15" borderId="0" xfId="0" applyFont="1" applyFill="1" applyAlignment="1">
      <alignment horizontal="center" vertical="center"/>
    </xf>
    <xf numFmtId="1" fontId="31" fillId="16" borderId="0" xfId="0" applyNumberFormat="1" applyFont="1" applyFill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1" fontId="31" fillId="3" borderId="0" xfId="0" applyNumberFormat="1" applyFont="1" applyFill="1" applyAlignment="1">
      <alignment horizontal="center" vertical="center"/>
    </xf>
    <xf numFmtId="0" fontId="29" fillId="3" borderId="0" xfId="0" applyFont="1" applyFill="1"/>
    <xf numFmtId="0" fontId="33" fillId="3" borderId="0" xfId="0" applyFont="1" applyFill="1"/>
    <xf numFmtId="1" fontId="34" fillId="3" borderId="0" xfId="0" applyNumberFormat="1" applyFont="1" applyFill="1" applyAlignment="1">
      <alignment horizontal="center" vertical="center"/>
    </xf>
    <xf numFmtId="1" fontId="45" fillId="20" borderId="38" xfId="0" applyNumberFormat="1" applyFont="1" applyFill="1" applyBorder="1" applyAlignment="1" applyProtection="1">
      <alignment horizontal="center" vertical="center"/>
      <protection locked="0"/>
    </xf>
    <xf numFmtId="0" fontId="22" fillId="21" borderId="39" xfId="0" applyFont="1" applyFill="1" applyBorder="1" applyAlignment="1">
      <alignment horizontal="center" vertical="center"/>
    </xf>
    <xf numFmtId="0" fontId="22" fillId="21" borderId="41" xfId="0" applyFont="1" applyFill="1" applyBorder="1" applyAlignment="1">
      <alignment horizontal="center" vertical="center"/>
    </xf>
    <xf numFmtId="1" fontId="50" fillId="21" borderId="24" xfId="0" applyNumberFormat="1" applyFont="1" applyFill="1" applyBorder="1" applyAlignment="1">
      <alignment horizontal="center" vertical="center"/>
    </xf>
    <xf numFmtId="0" fontId="50" fillId="21" borderId="40" xfId="0" applyFont="1" applyFill="1" applyBorder="1" applyAlignment="1">
      <alignment horizontal="left" vertical="center"/>
    </xf>
    <xf numFmtId="165" fontId="5" fillId="21" borderId="35" xfId="0" applyNumberFormat="1" applyFont="1" applyFill="1" applyBorder="1" applyAlignment="1">
      <alignment horizontal="center" vertical="center" wrapText="1"/>
    </xf>
    <xf numFmtId="0" fontId="35" fillId="3" borderId="31" xfId="0" applyFont="1" applyFill="1" applyBorder="1" applyAlignment="1">
      <alignment horizontal="left" vertical="center"/>
    </xf>
    <xf numFmtId="0" fontId="38" fillId="3" borderId="0" xfId="0" applyFont="1" applyFill="1" applyAlignment="1">
      <alignment horizontal="center" vertical="center"/>
    </xf>
    <xf numFmtId="173" fontId="38" fillId="3" borderId="0" xfId="0" applyNumberFormat="1" applyFont="1" applyFill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8" fontId="27" fillId="3" borderId="6" xfId="0" applyNumberFormat="1" applyFont="1" applyFill="1" applyBorder="1" applyAlignment="1">
      <alignment horizontal="center" vertical="center"/>
    </xf>
    <xf numFmtId="167" fontId="38" fillId="3" borderId="0" xfId="0" applyNumberFormat="1" applyFont="1" applyFill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173" fontId="0" fillId="3" borderId="1" xfId="0" applyNumberForma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173" fontId="0" fillId="3" borderId="0" xfId="0" applyNumberFormat="1" applyFill="1" applyAlignment="1">
      <alignment horizontal="center" vertical="center"/>
    </xf>
    <xf numFmtId="16" fontId="0" fillId="3" borderId="0" xfId="0" applyNumberFormat="1" applyFill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5" fontId="21" fillId="3" borderId="0" xfId="0" applyNumberFormat="1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165" fontId="4" fillId="3" borderId="33" xfId="0" applyNumberFormat="1" applyFont="1" applyFill="1" applyBorder="1" applyAlignment="1">
      <alignment horizontal="center" vertical="center" wrapText="1"/>
    </xf>
    <xf numFmtId="4" fontId="4" fillId="3" borderId="33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vertical="center"/>
    </xf>
    <xf numFmtId="4" fontId="5" fillId="3" borderId="33" xfId="0" applyNumberFormat="1" applyFont="1" applyFill="1" applyBorder="1" applyAlignment="1">
      <alignment horizontal="center" vertical="center" wrapText="1"/>
    </xf>
    <xf numFmtId="170" fontId="2" fillId="3" borderId="33" xfId="0" applyNumberFormat="1" applyFont="1" applyFill="1" applyBorder="1" applyAlignment="1">
      <alignment horizontal="center" vertical="center" wrapText="1"/>
    </xf>
    <xf numFmtId="170" fontId="3" fillId="3" borderId="33" xfId="0" applyNumberFormat="1" applyFont="1" applyFill="1" applyBorder="1" applyAlignment="1">
      <alignment horizontal="center" vertical="center" wrapText="1"/>
    </xf>
    <xf numFmtId="171" fontId="0" fillId="3" borderId="0" xfId="0" applyNumberFormat="1" applyFill="1" applyAlignment="1">
      <alignment horizontal="center" vertical="center"/>
    </xf>
    <xf numFmtId="170" fontId="3" fillId="3" borderId="28" xfId="0" applyNumberFormat="1" applyFont="1" applyFill="1" applyBorder="1" applyAlignment="1">
      <alignment horizontal="center" vertical="center" wrapText="1"/>
    </xf>
    <xf numFmtId="170" fontId="0" fillId="3" borderId="0" xfId="0" applyNumberFormat="1" applyFill="1" applyAlignment="1">
      <alignment horizontal="center" vertical="center"/>
    </xf>
    <xf numFmtId="0" fontId="35" fillId="3" borderId="0" xfId="0" applyFont="1" applyFill="1" applyAlignment="1">
      <alignment horizontal="left" vertical="center"/>
    </xf>
    <xf numFmtId="170" fontId="2" fillId="3" borderId="0" xfId="0" applyNumberFormat="1" applyFont="1" applyFill="1" applyAlignment="1">
      <alignment horizontal="center" vertical="center" wrapText="1"/>
    </xf>
    <xf numFmtId="165" fontId="18" fillId="3" borderId="0" xfId="0" applyNumberFormat="1" applyFont="1" applyFill="1" applyAlignment="1">
      <alignment horizontal="center" vertical="center" wrapText="1"/>
    </xf>
    <xf numFmtId="166" fontId="2" fillId="3" borderId="0" xfId="0" applyNumberFormat="1" applyFont="1" applyFill="1" applyAlignment="1">
      <alignment horizontal="center" vertical="center" wrapText="1"/>
    </xf>
    <xf numFmtId="165" fontId="13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166" fontId="58" fillId="21" borderId="19" xfId="0" applyNumberFormat="1" applyFont="1" applyFill="1" applyBorder="1" applyAlignment="1">
      <alignment horizontal="center" vertical="center"/>
    </xf>
    <xf numFmtId="172" fontId="45" fillId="20" borderId="5" xfId="0" applyNumberFormat="1" applyFont="1" applyFill="1" applyBorder="1" applyAlignment="1" applyProtection="1">
      <alignment horizontal="center" vertical="center"/>
      <protection locked="0"/>
    </xf>
    <xf numFmtId="172" fontId="45" fillId="20" borderId="16" xfId="0" applyNumberFormat="1" applyFont="1" applyFill="1" applyBorder="1" applyAlignment="1" applyProtection="1">
      <alignment horizontal="center" vertical="center"/>
      <protection locked="0"/>
    </xf>
    <xf numFmtId="165" fontId="4" fillId="2" borderId="33" xfId="0" applyNumberFormat="1" applyFont="1" applyFill="1" applyBorder="1" applyAlignment="1">
      <alignment horizontal="center" vertical="center" wrapText="1"/>
    </xf>
    <xf numFmtId="168" fontId="35" fillId="0" borderId="0" xfId="0" applyNumberFormat="1" applyFont="1" applyAlignment="1">
      <alignment horizontal="left" vertical="center"/>
    </xf>
    <xf numFmtId="4" fontId="4" fillId="2" borderId="3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165" fontId="4" fillId="8" borderId="33" xfId="0" applyNumberFormat="1" applyFont="1" applyFill="1" applyBorder="1" applyAlignment="1">
      <alignment horizontal="center" vertical="center" wrapText="1"/>
    </xf>
    <xf numFmtId="165" fontId="4" fillId="14" borderId="33" xfId="0" applyNumberFormat="1" applyFont="1" applyFill="1" applyBorder="1" applyAlignment="1">
      <alignment horizontal="center" vertical="center" wrapText="1"/>
    </xf>
    <xf numFmtId="8" fontId="0" fillId="17" borderId="47" xfId="0" applyNumberFormat="1" applyFill="1" applyBorder="1" applyAlignment="1">
      <alignment horizontal="center" vertical="center"/>
    </xf>
    <xf numFmtId="8" fontId="0" fillId="17" borderId="48" xfId="0" applyNumberFormat="1" applyFill="1" applyBorder="1" applyAlignment="1">
      <alignment horizontal="center" vertical="center"/>
    </xf>
    <xf numFmtId="175" fontId="0" fillId="17" borderId="47" xfId="0" applyNumberFormat="1" applyFill="1" applyBorder="1" applyAlignment="1">
      <alignment horizontal="center" vertical="center"/>
    </xf>
    <xf numFmtId="175" fontId="0" fillId="17" borderId="48" xfId="0" applyNumberFormat="1" applyFill="1" applyBorder="1" applyAlignment="1">
      <alignment horizontal="center" vertical="center"/>
    </xf>
    <xf numFmtId="0" fontId="47" fillId="18" borderId="3" xfId="0" applyFont="1" applyFill="1" applyBorder="1" applyAlignment="1">
      <alignment horizontal="center" vertical="center"/>
    </xf>
    <xf numFmtId="0" fontId="47" fillId="18" borderId="1" xfId="0" applyFont="1" applyFill="1" applyBorder="1" applyAlignment="1">
      <alignment horizontal="center" vertical="center"/>
    </xf>
    <xf numFmtId="0" fontId="47" fillId="18" borderId="8" xfId="0" applyFont="1" applyFill="1" applyBorder="1" applyAlignment="1">
      <alignment horizontal="center" vertical="center"/>
    </xf>
    <xf numFmtId="0" fontId="43" fillId="17" borderId="49" xfId="0" applyFont="1" applyFill="1" applyBorder="1" applyAlignment="1">
      <alignment horizontal="right" vertical="center"/>
    </xf>
    <xf numFmtId="0" fontId="43" fillId="17" borderId="50" xfId="0" applyFont="1" applyFill="1" applyBorder="1" applyAlignment="1">
      <alignment horizontal="right" vertical="center"/>
    </xf>
    <xf numFmtId="0" fontId="0" fillId="17" borderId="41" xfId="0" applyFill="1" applyBorder="1" applyAlignment="1">
      <alignment horizontal="right" vertical="center"/>
    </xf>
    <xf numFmtId="0" fontId="0" fillId="17" borderId="47" xfId="0" applyFill="1" applyBorder="1" applyAlignment="1">
      <alignment horizontal="right" vertical="center"/>
    </xf>
    <xf numFmtId="8" fontId="21" fillId="17" borderId="51" xfId="0" applyNumberFormat="1" applyFont="1" applyFill="1" applyBorder="1" applyAlignment="1">
      <alignment horizontal="center" vertical="center"/>
    </xf>
    <xf numFmtId="8" fontId="21" fillId="17" borderId="52" xfId="0" applyNumberFormat="1" applyFont="1" applyFill="1" applyBorder="1" applyAlignment="1">
      <alignment horizontal="center" vertical="center"/>
    </xf>
    <xf numFmtId="8" fontId="21" fillId="17" borderId="53" xfId="0" applyNumberFormat="1" applyFont="1" applyFill="1" applyBorder="1" applyAlignment="1">
      <alignment horizontal="center" vertical="center"/>
    </xf>
    <xf numFmtId="175" fontId="0" fillId="17" borderId="54" xfId="0" applyNumberFormat="1" applyFill="1" applyBorder="1" applyAlignment="1">
      <alignment horizontal="center" vertical="center"/>
    </xf>
    <xf numFmtId="175" fontId="0" fillId="17" borderId="55" xfId="0" applyNumberFormat="1" applyFill="1" applyBorder="1" applyAlignment="1">
      <alignment horizontal="center" vertical="center"/>
    </xf>
    <xf numFmtId="175" fontId="0" fillId="17" borderId="56" xfId="0" applyNumberFormat="1" applyFill="1" applyBorder="1" applyAlignment="1">
      <alignment horizontal="center" vertical="center"/>
    </xf>
    <xf numFmtId="0" fontId="52" fillId="18" borderId="27" xfId="0" applyFont="1" applyFill="1" applyBorder="1" applyAlignment="1">
      <alignment horizontal="center"/>
    </xf>
    <xf numFmtId="0" fontId="52" fillId="18" borderId="28" xfId="0" applyFont="1" applyFill="1" applyBorder="1" applyAlignment="1">
      <alignment horizontal="center"/>
    </xf>
    <xf numFmtId="0" fontId="52" fillId="18" borderId="29" xfId="0" applyFont="1" applyFill="1" applyBorder="1" applyAlignment="1">
      <alignment horizontal="center"/>
    </xf>
    <xf numFmtId="0" fontId="49" fillId="18" borderId="25" xfId="0" applyFont="1" applyFill="1" applyBorder="1" applyAlignment="1">
      <alignment horizontal="center" vertical="center"/>
    </xf>
    <xf numFmtId="0" fontId="49" fillId="18" borderId="0" xfId="0" applyFont="1" applyFill="1" applyAlignment="1">
      <alignment horizontal="center" vertical="center"/>
    </xf>
    <xf numFmtId="165" fontId="53" fillId="18" borderId="0" xfId="0" applyNumberFormat="1" applyFont="1" applyFill="1" applyAlignment="1">
      <alignment horizontal="center" vertical="center"/>
    </xf>
    <xf numFmtId="165" fontId="53" fillId="18" borderId="26" xfId="0" applyNumberFormat="1" applyFont="1" applyFill="1" applyBorder="1" applyAlignment="1">
      <alignment horizontal="center" vertical="center"/>
    </xf>
    <xf numFmtId="166" fontId="55" fillId="18" borderId="20" xfId="0" applyNumberFormat="1" applyFont="1" applyFill="1" applyBorder="1" applyAlignment="1">
      <alignment horizontal="center" vertical="center"/>
    </xf>
    <xf numFmtId="166" fontId="55" fillId="18" borderId="35" xfId="0" applyNumberFormat="1" applyFont="1" applyFill="1" applyBorder="1" applyAlignment="1">
      <alignment horizontal="center" vertical="center"/>
    </xf>
    <xf numFmtId="0" fontId="51" fillId="18" borderId="34" xfId="0" applyFont="1" applyFill="1" applyBorder="1" applyAlignment="1">
      <alignment horizontal="center" vertical="center" wrapText="1"/>
    </xf>
    <xf numFmtId="0" fontId="47" fillId="18" borderId="20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/>
    </xf>
    <xf numFmtId="0" fontId="56" fillId="18" borderId="9" xfId="0" applyFont="1" applyFill="1" applyBorder="1" applyAlignment="1">
      <alignment horizontal="center" vertical="center"/>
    </xf>
    <xf numFmtId="0" fontId="56" fillId="18" borderId="2" xfId="0" applyFont="1" applyFill="1" applyBorder="1" applyAlignment="1">
      <alignment horizontal="center" vertical="center"/>
    </xf>
    <xf numFmtId="0" fontId="56" fillId="18" borderId="10" xfId="0" applyFont="1" applyFill="1" applyBorder="1" applyAlignment="1">
      <alignment horizontal="center" vertical="center"/>
    </xf>
    <xf numFmtId="0" fontId="56" fillId="18" borderId="3" xfId="0" applyFont="1" applyFill="1" applyBorder="1" applyAlignment="1">
      <alignment horizontal="center" vertical="center"/>
    </xf>
    <xf numFmtId="0" fontId="56" fillId="18" borderId="1" xfId="0" applyFont="1" applyFill="1" applyBorder="1" applyAlignment="1">
      <alignment horizontal="center" vertical="center"/>
    </xf>
    <xf numFmtId="0" fontId="56" fillId="18" borderId="8" xfId="0" applyFont="1" applyFill="1" applyBorder="1" applyAlignment="1">
      <alignment horizontal="center" vertical="center"/>
    </xf>
    <xf numFmtId="0" fontId="54" fillId="18" borderId="3" xfId="0" applyFont="1" applyFill="1" applyBorder="1" applyAlignment="1">
      <alignment horizontal="center" vertical="center"/>
    </xf>
    <xf numFmtId="0" fontId="54" fillId="18" borderId="1" xfId="0" applyFont="1" applyFill="1" applyBorder="1" applyAlignment="1">
      <alignment horizontal="center" vertical="center"/>
    </xf>
    <xf numFmtId="0" fontId="54" fillId="18" borderId="8" xfId="0" applyFont="1" applyFill="1" applyBorder="1" applyAlignment="1">
      <alignment horizontal="center" vertical="center"/>
    </xf>
    <xf numFmtId="0" fontId="49" fillId="18" borderId="26" xfId="0" applyFont="1" applyFill="1" applyBorder="1" applyAlignment="1">
      <alignment horizontal="center" vertical="center"/>
    </xf>
    <xf numFmtId="0" fontId="41" fillId="19" borderId="25" xfId="0" applyFont="1" applyFill="1" applyBorder="1" applyAlignment="1">
      <alignment horizontal="center" vertical="center"/>
    </xf>
    <xf numFmtId="0" fontId="41" fillId="19" borderId="0" xfId="0" applyFont="1" applyFill="1" applyAlignment="1">
      <alignment horizontal="center" vertical="center"/>
    </xf>
    <xf numFmtId="0" fontId="41" fillId="19" borderId="26" xfId="0" applyFont="1" applyFill="1" applyBorder="1" applyAlignment="1">
      <alignment horizontal="center" vertical="center"/>
    </xf>
    <xf numFmtId="0" fontId="1" fillId="19" borderId="25" xfId="0" applyFont="1" applyFill="1" applyBorder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" fillId="19" borderId="26" xfId="0" applyFont="1" applyFill="1" applyBorder="1" applyAlignment="1">
      <alignment horizontal="center" vertical="center"/>
    </xf>
    <xf numFmtId="0" fontId="22" fillId="21" borderId="42" xfId="0" applyFont="1" applyFill="1" applyBorder="1" applyAlignment="1">
      <alignment horizontal="center" vertical="center" wrapText="1"/>
    </xf>
    <xf numFmtId="0" fontId="22" fillId="21" borderId="43" xfId="0" applyFont="1" applyFill="1" applyBorder="1" applyAlignment="1">
      <alignment horizontal="center" vertical="center" wrapText="1"/>
    </xf>
    <xf numFmtId="0" fontId="22" fillId="21" borderId="44" xfId="0" applyFont="1" applyFill="1" applyBorder="1" applyAlignment="1">
      <alignment horizontal="center" vertical="center" wrapText="1"/>
    </xf>
    <xf numFmtId="0" fontId="27" fillId="19" borderId="25" xfId="0" applyFont="1" applyFill="1" applyBorder="1" applyAlignment="1">
      <alignment horizontal="center" vertical="center"/>
    </xf>
    <xf numFmtId="0" fontId="27" fillId="19" borderId="0" xfId="0" applyFont="1" applyFill="1" applyAlignment="1">
      <alignment horizontal="center" vertical="center"/>
    </xf>
    <xf numFmtId="0" fontId="27" fillId="19" borderId="26" xfId="0" applyFont="1" applyFill="1" applyBorder="1" applyAlignment="1">
      <alignment horizontal="center" vertical="center"/>
    </xf>
    <xf numFmtId="0" fontId="48" fillId="0" borderId="45" xfId="0" applyFont="1" applyBorder="1" applyAlignment="1">
      <alignment horizontal="center" vertical="center"/>
    </xf>
    <xf numFmtId="0" fontId="48" fillId="0" borderId="23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166" fontId="22" fillId="8" borderId="0" xfId="0" applyNumberFormat="1" applyFont="1" applyFill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2" fillId="15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74" fontId="9" fillId="10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" fillId="19" borderId="9" xfId="0" applyFont="1" applyFill="1" applyBorder="1" applyAlignment="1">
      <alignment horizontal="center" vertical="center"/>
    </xf>
    <xf numFmtId="0" fontId="1" fillId="19" borderId="2" xfId="0" applyFont="1" applyFill="1" applyBorder="1" applyAlignment="1">
      <alignment horizontal="center" vertical="center"/>
    </xf>
    <xf numFmtId="0" fontId="1" fillId="19" borderId="10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165" fontId="16" fillId="3" borderId="0" xfId="0" applyNumberFormat="1" applyFont="1" applyFill="1" applyAlignment="1">
      <alignment horizontal="center" vertical="center" wrapText="1"/>
    </xf>
    <xf numFmtId="0" fontId="28" fillId="11" borderId="0" xfId="0" applyFont="1" applyFill="1" applyAlignment="1">
      <alignment horizontal="center" vertical="center"/>
    </xf>
    <xf numFmtId="165" fontId="18" fillId="7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59" fillId="3" borderId="0" xfId="0" applyFont="1" applyFill="1" applyAlignment="1">
      <alignment horizontal="center" vertical="center"/>
    </xf>
    <xf numFmtId="0" fontId="20" fillId="19" borderId="36" xfId="0" applyFont="1" applyFill="1" applyBorder="1" applyAlignment="1">
      <alignment horizontal="center" vertical="center"/>
    </xf>
    <xf numFmtId="0" fontId="20" fillId="19" borderId="18" xfId="0" applyFont="1" applyFill="1" applyBorder="1" applyAlignment="1">
      <alignment horizontal="center" vertical="center"/>
    </xf>
    <xf numFmtId="0" fontId="20" fillId="19" borderId="37" xfId="0" applyFont="1" applyFill="1" applyBorder="1" applyAlignment="1">
      <alignment horizontal="center" vertical="center"/>
    </xf>
    <xf numFmtId="166" fontId="21" fillId="3" borderId="2" xfId="0" applyNumberFormat="1" applyFont="1" applyFill="1" applyBorder="1" applyAlignment="1">
      <alignment horizontal="center" vertical="center"/>
    </xf>
    <xf numFmtId="0" fontId="11" fillId="19" borderId="25" xfId="0" applyFont="1" applyFill="1" applyBorder="1" applyAlignment="1">
      <alignment horizontal="center" vertical="center" wrapText="1"/>
    </xf>
    <xf numFmtId="0" fontId="9" fillId="19" borderId="0" xfId="0" applyFont="1" applyFill="1" applyAlignment="1">
      <alignment horizontal="center" vertical="center" wrapText="1"/>
    </xf>
    <xf numFmtId="0" fontId="9" fillId="19" borderId="26" xfId="0" applyFont="1" applyFill="1" applyBorder="1" applyAlignment="1">
      <alignment horizontal="center" vertical="center" wrapText="1"/>
    </xf>
    <xf numFmtId="0" fontId="60" fillId="20" borderId="17" xfId="0" applyFont="1" applyFill="1" applyBorder="1" applyAlignment="1" applyProtection="1">
      <alignment horizontal="center" vertical="center"/>
      <protection locked="0"/>
    </xf>
    <xf numFmtId="0" fontId="60" fillId="20" borderId="22" xfId="0" applyFont="1" applyFill="1" applyBorder="1" applyAlignment="1" applyProtection="1">
      <alignment horizontal="center" vertical="center"/>
      <protection locked="0"/>
    </xf>
    <xf numFmtId="0" fontId="60" fillId="20" borderId="15" xfId="0" applyFont="1" applyFill="1" applyBorder="1" applyAlignment="1" applyProtection="1">
      <alignment horizontal="center" vertical="center"/>
      <protection locked="0"/>
    </xf>
    <xf numFmtId="165" fontId="22" fillId="21" borderId="7" xfId="0" quotePrefix="1" applyNumberFormat="1" applyFont="1" applyFill="1" applyBorder="1" applyAlignment="1">
      <alignment horizontal="center" vertical="center" wrapText="1"/>
    </xf>
    <xf numFmtId="165" fontId="1" fillId="21" borderId="37" xfId="0" applyNumberFormat="1" applyFont="1" applyFill="1" applyBorder="1" applyAlignment="1">
      <alignment horizontal="center" vertical="center" wrapText="1"/>
    </xf>
    <xf numFmtId="0" fontId="21" fillId="21" borderId="36" xfId="0" applyFont="1" applyFill="1" applyBorder="1" applyAlignment="1">
      <alignment horizontal="center" vertical="center" wrapText="1"/>
    </xf>
    <xf numFmtId="0" fontId="21" fillId="21" borderId="18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0" fillId="21" borderId="21" xfId="0" applyFont="1" applyFill="1" applyBorder="1" applyAlignment="1">
      <alignment horizontal="center" vertical="center"/>
    </xf>
    <xf numFmtId="0" fontId="40" fillId="21" borderId="26" xfId="0" applyFont="1" applyFill="1" applyBorder="1" applyAlignment="1">
      <alignment horizontal="center" vertical="center"/>
    </xf>
    <xf numFmtId="165" fontId="46" fillId="21" borderId="19" xfId="0" applyNumberFormat="1" applyFont="1" applyFill="1" applyBorder="1" applyAlignment="1">
      <alignment horizontal="center" vertical="center" wrapText="1"/>
    </xf>
    <xf numFmtId="165" fontId="46" fillId="21" borderId="3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7">
    <dxf>
      <fill>
        <patternFill>
          <bgColor rgb="FF66FF6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rgb="FF92D050"/>
        </patternFill>
      </fill>
    </dxf>
    <dxf>
      <font>
        <color rgb="FF92D050"/>
      </font>
    </dxf>
    <dxf>
      <font>
        <color rgb="FF00FFFF"/>
      </font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3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ont>
        <color theme="0"/>
      </font>
    </dxf>
    <dxf>
      <fill>
        <patternFill>
          <bgColor theme="3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theme="9"/>
        </patternFill>
      </fill>
    </dxf>
    <dxf>
      <fill>
        <patternFill>
          <bgColor theme="6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66"/>
        </patternFill>
      </fill>
    </dxf>
    <dxf>
      <fill>
        <patternFill>
          <bgColor theme="9"/>
        </patternFill>
      </fill>
    </dxf>
    <dxf>
      <fill>
        <patternFill>
          <bgColor theme="3" tint="0.79998168889431442"/>
        </patternFill>
      </fill>
    </dxf>
    <dxf>
      <fill>
        <patternFill>
          <bgColor theme="9"/>
        </patternFill>
      </fill>
    </dxf>
    <dxf>
      <fill>
        <patternFill patternType="solid">
          <bgColor rgb="FFFFFF99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39994506668294322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FFFF"/>
      </font>
      <fill>
        <patternFill>
          <bgColor rgb="FFFFFFFF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FFFF99"/>
      <color rgb="FFBAE18F"/>
      <color rgb="FF66FF33"/>
      <color rgb="FF5AE9F4"/>
      <color rgb="FF00FFFF"/>
      <color rgb="FFCCFFFF"/>
      <color rgb="FFFFFF66"/>
      <color rgb="FFFFFFFF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7" Type="http://schemas.openxmlformats.org/officeDocument/2006/relationships/image" Target="../media/image4.png"/><Relationship Id="rId2" Type="http://schemas.openxmlformats.org/officeDocument/2006/relationships/hyperlink" Target="https://giteariege09.jimdo.com/r%C3%A9servation/" TargetMode="External"/><Relationship Id="rId1" Type="http://schemas.openxmlformats.org/officeDocument/2006/relationships/hyperlink" Target="https://legranjou.com/disponibilites-tarifs/" TargetMode="Externa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hyperlink" Target="https://legranjou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46</xdr:col>
      <xdr:colOff>0</xdr:colOff>
      <xdr:row>147</xdr:row>
      <xdr:rowOff>121920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750040" y="415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13</xdr:col>
      <xdr:colOff>464004</xdr:colOff>
      <xdr:row>25</xdr:row>
      <xdr:rowOff>69658</xdr:rowOff>
    </xdr:from>
    <xdr:ext cx="4665828" cy="961181"/>
    <xdr:sp macro="" textlink="">
      <xdr:nvSpPr>
        <xdr:cNvPr id="6" name="Rectangl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21272204">
          <a:off x="777769" y="7454334"/>
          <a:ext cx="4665828" cy="961181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12700">
          <a:solidFill>
            <a:schemeClr val="tx2"/>
          </a:solidFill>
        </a:ln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fr-FR" sz="2400" b="0" i="1" cap="none" spc="0">
              <a:ln/>
              <a:solidFill>
                <a:srgbClr val="00B0F0"/>
              </a:solidFill>
              <a:effectLst/>
              <a:latin typeface="Cooper Black" panose="0208090404030B020404" pitchFamily="18" charset="0"/>
            </a:rPr>
            <a:t>Besoin de plus d'information</a:t>
          </a:r>
        </a:p>
        <a:p>
          <a:pPr algn="ctr"/>
          <a:r>
            <a:rPr lang="fr-FR" sz="2400" b="0" i="1" cap="none" spc="0">
              <a:ln/>
              <a:solidFill>
                <a:srgbClr val="00B0F0"/>
              </a:solidFill>
              <a:effectLst/>
              <a:latin typeface="Cooper Black" panose="0208090404030B020404" pitchFamily="18" charset="0"/>
            </a:rPr>
            <a:t>VISITEZ le </a:t>
          </a:r>
          <a:r>
            <a:rPr lang="fr-FR" sz="2400" b="0" i="1" cap="none" spc="0" baseline="0">
              <a:ln/>
              <a:solidFill>
                <a:srgbClr val="00B0F0"/>
              </a:solidFill>
              <a:effectLst/>
              <a:latin typeface="Cooper Black" panose="0208090404030B020404" pitchFamily="18" charset="0"/>
            </a:rPr>
            <a:t>site </a:t>
          </a:r>
          <a:r>
            <a:rPr lang="fr-FR" sz="1200" b="1" i="1" cap="none" spc="0" baseline="0">
              <a:ln/>
              <a:solidFill>
                <a:srgbClr val="FF0000"/>
              </a:solidFill>
              <a:effectLst/>
              <a:latin typeface="Cooper Black" panose="0208090404030B020404" pitchFamily="18" charset="0"/>
            </a:rPr>
            <a:t>(clic!)</a:t>
          </a:r>
          <a:endParaRPr lang="fr-FR" sz="1200" b="1" i="1" cap="none" spc="0">
            <a:ln/>
            <a:solidFill>
              <a:srgbClr val="FF0000"/>
            </a:solidFill>
            <a:effectLst/>
            <a:latin typeface="Cooper Black" panose="0208090404030B020404" pitchFamily="18" charset="0"/>
          </a:endParaRPr>
        </a:p>
      </xdr:txBody>
    </xdr:sp>
    <xdr:clientData/>
  </xdr:oneCellAnchor>
  <xdr:twoCellAnchor editAs="oneCell">
    <xdr:from>
      <xdr:col>22</xdr:col>
      <xdr:colOff>336177</xdr:colOff>
      <xdr:row>24</xdr:row>
      <xdr:rowOff>40951</xdr:rowOff>
    </xdr:from>
    <xdr:to>
      <xdr:col>36</xdr:col>
      <xdr:colOff>21085</xdr:colOff>
      <xdr:row>31</xdr:row>
      <xdr:rowOff>146796</xdr:rowOff>
    </xdr:to>
    <xdr:pic>
      <xdr:nvPicPr>
        <xdr:cNvPr id="2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8795" y="6988598"/>
          <a:ext cx="1477849" cy="1484168"/>
        </a:xfrm>
        <a:prstGeom prst="rect">
          <a:avLst/>
        </a:prstGeom>
      </xdr:spPr>
    </xdr:pic>
    <xdr:clientData/>
  </xdr:twoCellAnchor>
  <xdr:twoCellAnchor editAs="oneCell">
    <xdr:from>
      <xdr:col>20</xdr:col>
      <xdr:colOff>963708</xdr:colOff>
      <xdr:row>20</xdr:row>
      <xdr:rowOff>55285</xdr:rowOff>
    </xdr:from>
    <xdr:to>
      <xdr:col>21</xdr:col>
      <xdr:colOff>560293</xdr:colOff>
      <xdr:row>35</xdr:row>
      <xdr:rowOff>46874</xdr:rowOff>
    </xdr:to>
    <xdr:pic>
      <xdr:nvPicPr>
        <xdr:cNvPr id="4" name="Imag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9326" y="6532285"/>
          <a:ext cx="3821203" cy="3017177"/>
        </a:xfrm>
        <a:prstGeom prst="rect">
          <a:avLst/>
        </a:prstGeom>
      </xdr:spPr>
    </xdr:pic>
    <xdr:clientData/>
  </xdr:twoCellAnchor>
  <xdr:twoCellAnchor editAs="oneCell">
    <xdr:from>
      <xdr:col>17</xdr:col>
      <xdr:colOff>78441</xdr:colOff>
      <xdr:row>4</xdr:row>
      <xdr:rowOff>67236</xdr:rowOff>
    </xdr:from>
    <xdr:to>
      <xdr:col>19</xdr:col>
      <xdr:colOff>22836</xdr:colOff>
      <xdr:row>10</xdr:row>
      <xdr:rowOff>234470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96970" y="2162736"/>
          <a:ext cx="1076190" cy="2352381"/>
        </a:xfrm>
        <a:prstGeom prst="rect">
          <a:avLst/>
        </a:prstGeom>
      </xdr:spPr>
    </xdr:pic>
    <xdr:clientData/>
  </xdr:twoCellAnchor>
  <xdr:twoCellAnchor editAs="oneCell">
    <xdr:from>
      <xdr:col>19</xdr:col>
      <xdr:colOff>123264</xdr:colOff>
      <xdr:row>4</xdr:row>
      <xdr:rowOff>145676</xdr:rowOff>
    </xdr:from>
    <xdr:to>
      <xdr:col>44</xdr:col>
      <xdr:colOff>0</xdr:colOff>
      <xdr:row>15</xdr:row>
      <xdr:rowOff>193460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D34B5E8-4AC9-D18B-03FE-6C3354C34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3588" y="2241176"/>
          <a:ext cx="7597588" cy="3353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ilisateur\Dropbox\GITE\CALENDRIER-TARIFS\calendrier%20copie.xlsx" TargetMode="External"/><Relationship Id="rId1" Type="http://schemas.openxmlformats.org/officeDocument/2006/relationships/externalLinkPath" Target="/Users/Utilisateur/Dropbox/GITE/CALENDRIER-TARIFS/calendrier%20cop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riers"/>
      <sheetName val="OPTIONS"/>
      <sheetName val="SUIVI"/>
      <sheetName val="PERPETUEL"/>
      <sheetName val="TARIFS"/>
      <sheetName val="tableau ouverture"/>
    </sheetNames>
    <sheetDataSet>
      <sheetData sheetId="0">
        <row r="464">
          <cell r="BJ464">
            <v>275</v>
          </cell>
          <cell r="BK464">
            <v>290</v>
          </cell>
          <cell r="BL464">
            <v>310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469"/>
  <sheetViews>
    <sheetView tabSelected="1" zoomScale="85" zoomScaleNormal="85" workbookViewId="0">
      <selection activeCell="BQ11" sqref="BP11:BQ11"/>
    </sheetView>
  </sheetViews>
  <sheetFormatPr baseColWidth="10" defaultColWidth="11.5703125" defaultRowHeight="15" x14ac:dyDescent="0.25"/>
  <cols>
    <col min="1" max="1" width="4.7109375" style="26" customWidth="1"/>
    <col min="2" max="2" width="7.7109375" style="17" hidden="1" customWidth="1"/>
    <col min="3" max="7" width="11.5703125" style="17" hidden="1" customWidth="1"/>
    <col min="8" max="8" width="13.42578125" style="17" hidden="1" customWidth="1"/>
    <col min="9" max="9" width="11.5703125" style="17" hidden="1" customWidth="1"/>
    <col min="10" max="10" width="10" style="17" hidden="1" customWidth="1"/>
    <col min="11" max="11" width="6.7109375" style="18" hidden="1" customWidth="1"/>
    <col min="12" max="12" width="98.85546875" style="19" hidden="1" customWidth="1"/>
    <col min="13" max="13" width="1.7109375" style="141" customWidth="1"/>
    <col min="14" max="14" width="14.140625" style="17" bestFit="1" customWidth="1"/>
    <col min="15" max="15" width="18.7109375" style="17" customWidth="1"/>
    <col min="16" max="16" width="13.140625" style="17" customWidth="1"/>
    <col min="17" max="17" width="20" style="17" customWidth="1"/>
    <col min="18" max="18" width="2.42578125" style="17" customWidth="1"/>
    <col min="19" max="19" width="14.5703125" style="17" customWidth="1"/>
    <col min="20" max="20" width="2" style="17" customWidth="1"/>
    <col min="21" max="21" width="63.28515625" style="17" customWidth="1"/>
    <col min="22" max="22" width="11.42578125" style="17" customWidth="1"/>
    <col min="23" max="23" width="7.140625" style="17" bestFit="1" customWidth="1"/>
    <col min="24" max="37" width="1.5703125" style="17" bestFit="1" customWidth="1"/>
    <col min="38" max="38" width="1.5703125" style="17" customWidth="1"/>
    <col min="39" max="44" width="1.5703125" style="17" bestFit="1" customWidth="1"/>
    <col min="45" max="45" width="2.140625" style="17" bestFit="1" customWidth="1"/>
    <col min="46" max="47" width="1.5703125" style="17" bestFit="1" customWidth="1"/>
    <col min="48" max="48" width="2.28515625" style="17" customWidth="1"/>
    <col min="49" max="50" width="1.5703125" style="17" bestFit="1" customWidth="1"/>
    <col min="51" max="51" width="2" style="17" bestFit="1" customWidth="1"/>
    <col min="52" max="52" width="3.28515625" style="17" bestFit="1" customWidth="1"/>
    <col min="53" max="53" width="2" style="17" bestFit="1" customWidth="1"/>
    <col min="54" max="61" width="1.5703125" style="17" bestFit="1" customWidth="1"/>
    <col min="62" max="62" width="4.28515625" style="17" bestFit="1" customWidth="1"/>
    <col min="63" max="63" width="2" style="17" bestFit="1" customWidth="1"/>
    <col min="64" max="64" width="1.7109375" style="17" bestFit="1" customWidth="1"/>
    <col min="65" max="65" width="1.5703125" style="17" bestFit="1" customWidth="1"/>
    <col min="66" max="66" width="11.5703125" style="17"/>
    <col min="67" max="131" width="11.5703125" style="26"/>
    <col min="132" max="16384" width="11.5703125" style="17"/>
  </cols>
  <sheetData>
    <row r="1" spans="1:66" s="26" customFormat="1" ht="100.5" customHeight="1" thickTop="1" x14ac:dyDescent="1.65">
      <c r="A1" s="176" t="s">
        <v>92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8"/>
    </row>
    <row r="2" spans="1:66" ht="7.5" customHeight="1" thickBot="1" x14ac:dyDescent="0.3">
      <c r="A2" s="41"/>
      <c r="B2" s="26"/>
      <c r="C2" s="26"/>
      <c r="D2" s="26"/>
      <c r="E2" s="26"/>
      <c r="F2" s="26"/>
      <c r="G2" s="26"/>
      <c r="H2" s="26"/>
      <c r="I2" s="26"/>
      <c r="J2" s="26"/>
      <c r="K2" s="98"/>
      <c r="L2" s="11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42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</row>
    <row r="3" spans="1:66" ht="27.75" x14ac:dyDescent="0.25">
      <c r="A3" s="41"/>
      <c r="B3" s="26"/>
      <c r="C3" s="26"/>
      <c r="D3" s="26"/>
      <c r="E3" s="26"/>
      <c r="F3" s="26"/>
      <c r="G3" s="26"/>
      <c r="H3" s="26"/>
      <c r="I3" s="26"/>
      <c r="J3" s="26"/>
      <c r="K3" s="98"/>
      <c r="L3" s="116"/>
      <c r="N3" s="194" t="s">
        <v>98</v>
      </c>
      <c r="O3" s="195"/>
      <c r="P3" s="195"/>
      <c r="Q3" s="196"/>
      <c r="R3" s="26"/>
      <c r="S3" s="26"/>
      <c r="T3" s="26"/>
      <c r="U3" s="191" t="s">
        <v>86</v>
      </c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3"/>
      <c r="AM3" s="26"/>
      <c r="AN3" s="26"/>
      <c r="AO3" s="26"/>
      <c r="AP3" s="26"/>
      <c r="AQ3" s="26"/>
      <c r="AR3" s="26"/>
      <c r="AS3" s="42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</row>
    <row r="4" spans="1:66" ht="29.25" thickBot="1" x14ac:dyDescent="0.3">
      <c r="A4" s="41"/>
      <c r="B4" s="26"/>
      <c r="C4" s="26"/>
      <c r="D4" s="26"/>
      <c r="E4" s="26"/>
      <c r="F4" s="26"/>
      <c r="G4" s="26"/>
      <c r="H4" s="26"/>
      <c r="I4" s="26"/>
      <c r="J4" s="26"/>
      <c r="K4" s="98"/>
      <c r="L4" s="116"/>
      <c r="N4" s="179" t="s">
        <v>93</v>
      </c>
      <c r="O4" s="180"/>
      <c r="P4" s="181">
        <f>P12</f>
        <v>275</v>
      </c>
      <c r="Q4" s="182"/>
      <c r="R4" s="26"/>
      <c r="S4" s="26"/>
      <c r="T4" s="26"/>
      <c r="U4" s="188" t="s">
        <v>87</v>
      </c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90"/>
      <c r="AM4" s="26"/>
      <c r="AN4" s="26"/>
      <c r="AO4" s="26"/>
      <c r="AP4" s="26"/>
      <c r="AQ4" s="26"/>
      <c r="AR4" s="26"/>
      <c r="AS4" s="42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</row>
    <row r="5" spans="1:66" ht="24" thickBot="1" x14ac:dyDescent="0.3">
      <c r="A5" s="41"/>
      <c r="B5" s="26"/>
      <c r="C5" s="26"/>
      <c r="D5" s="26"/>
      <c r="E5" s="26"/>
      <c r="F5" s="26"/>
      <c r="G5" s="117" t="s">
        <v>63</v>
      </c>
      <c r="H5" s="118">
        <v>0</v>
      </c>
      <c r="I5" s="26"/>
      <c r="J5" s="26"/>
      <c r="K5" s="98"/>
      <c r="L5" s="116"/>
      <c r="N5" s="179" t="s">
        <v>89</v>
      </c>
      <c r="O5" s="180"/>
      <c r="P5" s="180"/>
      <c r="Q5" s="197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42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</row>
    <row r="6" spans="1:66" ht="36.75" thickBot="1" x14ac:dyDescent="0.3">
      <c r="A6" s="41"/>
      <c r="B6" s="26"/>
      <c r="C6" s="187" t="s">
        <v>45</v>
      </c>
      <c r="D6" s="187"/>
      <c r="E6" s="119" t="s">
        <v>46</v>
      </c>
      <c r="F6" s="120">
        <v>0.82499999999999996</v>
      </c>
      <c r="G6" s="121" t="s">
        <v>62</v>
      </c>
      <c r="H6" s="121">
        <v>0</v>
      </c>
      <c r="I6" s="26"/>
      <c r="J6" s="26"/>
      <c r="K6" s="26"/>
      <c r="L6" s="42"/>
      <c r="M6" s="26"/>
      <c r="N6" s="185" t="s">
        <v>90</v>
      </c>
      <c r="O6" s="186"/>
      <c r="P6" s="183">
        <f>IF(Q9&gt;0,P12+(P14*Q9),0)</f>
        <v>283.56799999999998</v>
      </c>
      <c r="Q6" s="184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42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</row>
    <row r="7" spans="1:66" ht="34.15" customHeight="1" thickTop="1" x14ac:dyDescent="0.25">
      <c r="A7" s="41"/>
      <c r="B7" s="26"/>
      <c r="C7" s="247" t="s">
        <v>36</v>
      </c>
      <c r="D7" s="248"/>
      <c r="E7" s="248"/>
      <c r="F7" s="122" t="s">
        <v>41</v>
      </c>
      <c r="G7" s="123">
        <f>C9/14</f>
        <v>0</v>
      </c>
      <c r="H7" s="123">
        <f>C9/21</f>
        <v>0</v>
      </c>
      <c r="I7" s="123">
        <f>C9/28</f>
        <v>0</v>
      </c>
      <c r="J7" s="26"/>
      <c r="K7" s="26"/>
      <c r="L7" s="42"/>
      <c r="M7" s="26"/>
      <c r="N7" s="233" t="s">
        <v>94</v>
      </c>
      <c r="O7" s="234"/>
      <c r="P7" s="234"/>
      <c r="Q7" s="235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42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</row>
    <row r="8" spans="1:66" ht="36.75" customHeight="1" thickBot="1" x14ac:dyDescent="0.3">
      <c r="A8" s="41"/>
      <c r="B8" s="26"/>
      <c r="C8" s="124"/>
      <c r="D8" s="47"/>
      <c r="E8" s="47"/>
      <c r="F8" s="124"/>
      <c r="G8" s="125"/>
      <c r="H8" s="125"/>
      <c r="I8" s="125"/>
      <c r="J8" s="26"/>
      <c r="K8" s="26"/>
      <c r="L8" s="42"/>
      <c r="M8" s="26"/>
      <c r="N8" s="237" t="s">
        <v>91</v>
      </c>
      <c r="O8" s="238"/>
      <c r="P8" s="238"/>
      <c r="Q8" s="239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42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</row>
    <row r="9" spans="1:66" ht="20.25" thickTop="1" thickBot="1" x14ac:dyDescent="0.3">
      <c r="A9" s="41"/>
      <c r="B9" s="126">
        <v>44400</v>
      </c>
      <c r="C9" s="236">
        <v>0</v>
      </c>
      <c r="D9" s="236"/>
      <c r="E9" s="236"/>
      <c r="F9" s="127" t="s">
        <v>40</v>
      </c>
      <c r="G9" s="128" t="s">
        <v>42</v>
      </c>
      <c r="H9" s="128" t="s">
        <v>43</v>
      </c>
      <c r="I9" s="128" t="s">
        <v>44</v>
      </c>
      <c r="J9" s="26"/>
      <c r="K9" s="26"/>
      <c r="L9" s="42"/>
      <c r="M9" s="26"/>
      <c r="N9" s="245" t="s">
        <v>88</v>
      </c>
      <c r="O9" s="246"/>
      <c r="P9" s="246"/>
      <c r="Q9" s="110">
        <v>1</v>
      </c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42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</row>
    <row r="10" spans="1:66" ht="20.25" customHeight="1" thickTop="1" thickBot="1" x14ac:dyDescent="0.3">
      <c r="A10" s="41"/>
      <c r="B10" s="126">
        <v>44409</v>
      </c>
      <c r="C10" s="124" t="s">
        <v>22</v>
      </c>
      <c r="D10" s="129"/>
      <c r="E10" s="124" t="s">
        <v>25</v>
      </c>
      <c r="F10" s="130"/>
      <c r="G10" s="130"/>
      <c r="H10" s="98"/>
      <c r="I10" s="26"/>
      <c r="J10" s="26"/>
      <c r="K10" s="26"/>
      <c r="L10" s="42"/>
      <c r="M10" s="26"/>
      <c r="N10" s="111" t="s">
        <v>64</v>
      </c>
      <c r="O10" s="149">
        <v>46089</v>
      </c>
      <c r="P10" s="113">
        <f>F83</f>
        <v>7</v>
      </c>
      <c r="Q10" s="114" t="s">
        <v>74</v>
      </c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42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</row>
    <row r="11" spans="1:66" ht="18.75" x14ac:dyDescent="0.25">
      <c r="A11" s="41"/>
      <c r="B11" s="26"/>
      <c r="C11" s="26"/>
      <c r="D11" s="124" t="s">
        <v>21</v>
      </c>
      <c r="E11" s="131">
        <v>1</v>
      </c>
      <c r="F11" s="131">
        <v>2</v>
      </c>
      <c r="G11" s="131">
        <v>3</v>
      </c>
      <c r="H11" s="131">
        <v>4</v>
      </c>
      <c r="I11" s="26"/>
      <c r="J11" s="26"/>
      <c r="K11" s="26"/>
      <c r="L11" s="42"/>
      <c r="M11" s="26"/>
      <c r="N11" s="112" t="s">
        <v>69</v>
      </c>
      <c r="O11" s="150">
        <v>46096</v>
      </c>
      <c r="P11" s="249" t="s">
        <v>83</v>
      </c>
      <c r="Q11" s="250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42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</row>
    <row r="12" spans="1:66" ht="20.25" customHeight="1" thickBot="1" x14ac:dyDescent="0.3">
      <c r="A12" s="41"/>
      <c r="B12" s="26"/>
      <c r="C12" s="29" t="s">
        <v>19</v>
      </c>
      <c r="D12" s="26" t="s">
        <v>23</v>
      </c>
      <c r="E12" s="151"/>
      <c r="F12" s="157">
        <f>[1]Calendriers!$BJ$464</f>
        <v>275</v>
      </c>
      <c r="G12" s="151">
        <f>[1]Calendriers!$BK$464</f>
        <v>290</v>
      </c>
      <c r="H12" s="158">
        <f>[1]Calendriers!$BL$464</f>
        <v>310</v>
      </c>
      <c r="I12" s="232" t="s">
        <v>99</v>
      </c>
      <c r="J12" s="232"/>
      <c r="K12" s="26"/>
      <c r="L12" s="42"/>
      <c r="M12" s="26"/>
      <c r="N12" s="204" t="s">
        <v>100</v>
      </c>
      <c r="O12" s="240">
        <v>2</v>
      </c>
      <c r="P12" s="251">
        <f>IF(P10&gt;40,"séjour long Contactez moi",K75)</f>
        <v>275</v>
      </c>
      <c r="Q12" s="252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42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</row>
    <row r="13" spans="1:66" ht="16.899999999999999" customHeight="1" thickTop="1" x14ac:dyDescent="0.25">
      <c r="A13" s="41"/>
      <c r="B13" s="26"/>
      <c r="C13" s="29"/>
      <c r="D13" s="26"/>
      <c r="E13" s="132"/>
      <c r="F13" s="132"/>
      <c r="G13" s="132"/>
      <c r="H13" s="132"/>
      <c r="I13" s="26"/>
      <c r="J13" s="26"/>
      <c r="K13" s="98"/>
      <c r="L13" s="116"/>
      <c r="N13" s="205"/>
      <c r="O13" s="241"/>
      <c r="P13" s="243" t="s">
        <v>84</v>
      </c>
      <c r="Q13" s="244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42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</row>
    <row r="14" spans="1:66" ht="16.899999999999999" customHeight="1" thickBot="1" x14ac:dyDescent="0.3">
      <c r="A14" s="41"/>
      <c r="B14" s="26"/>
      <c r="C14" s="29"/>
      <c r="D14" s="26">
        <v>3</v>
      </c>
      <c r="E14" s="132"/>
      <c r="F14" s="132">
        <f>F12-10</f>
        <v>265</v>
      </c>
      <c r="G14" s="132">
        <f>G12-10</f>
        <v>280</v>
      </c>
      <c r="H14" s="132">
        <f>H12-10</f>
        <v>300</v>
      </c>
      <c r="I14" s="26"/>
      <c r="J14" s="26"/>
      <c r="K14" s="98"/>
      <c r="L14" s="116"/>
      <c r="N14" s="206"/>
      <c r="O14" s="242"/>
      <c r="P14" s="148">
        <f>P10*W21</f>
        <v>8.5679999999999996</v>
      </c>
      <c r="Q14" s="115" t="s">
        <v>85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42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</row>
    <row r="15" spans="1:66" ht="15.75" thickTop="1" x14ac:dyDescent="0.25">
      <c r="A15" s="41"/>
      <c r="B15" s="26"/>
      <c r="C15" s="29"/>
      <c r="D15" s="26">
        <v>4</v>
      </c>
      <c r="E15" s="132"/>
      <c r="F15" s="132">
        <f>F12-15</f>
        <v>260</v>
      </c>
      <c r="G15" s="132">
        <f>G12-15</f>
        <v>275</v>
      </c>
      <c r="H15" s="132">
        <f>H12-15</f>
        <v>295</v>
      </c>
      <c r="I15" s="26"/>
      <c r="J15" s="26"/>
      <c r="K15" s="98"/>
      <c r="L15" s="116"/>
      <c r="N15" s="207" t="s">
        <v>66</v>
      </c>
      <c r="O15" s="208"/>
      <c r="P15" s="208"/>
      <c r="Q15" s="209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42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</row>
    <row r="16" spans="1:66" ht="15.75" thickBot="1" x14ac:dyDescent="0.3">
      <c r="A16" s="41"/>
      <c r="B16" s="26"/>
      <c r="C16" s="215" t="s">
        <v>29</v>
      </c>
      <c r="D16" s="215"/>
      <c r="E16" s="215"/>
      <c r="F16" s="132"/>
      <c r="G16" s="132"/>
      <c r="H16" s="132"/>
      <c r="I16" s="26"/>
      <c r="J16" s="26"/>
      <c r="K16" s="98"/>
      <c r="L16" s="116"/>
      <c r="N16" s="207" t="s">
        <v>65</v>
      </c>
      <c r="O16" s="208"/>
      <c r="P16" s="208"/>
      <c r="Q16" s="209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42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</row>
    <row r="17" spans="1:66" ht="22.5" thickTop="1" thickBot="1" x14ac:dyDescent="0.3">
      <c r="A17" s="41"/>
      <c r="B17" s="26"/>
      <c r="C17" s="26"/>
      <c r="D17" s="26" t="s">
        <v>23</v>
      </c>
      <c r="E17" s="133">
        <f>E12/7</f>
        <v>0</v>
      </c>
      <c r="F17" s="133">
        <f>F12/7</f>
        <v>39.285714285714285</v>
      </c>
      <c r="G17" s="133">
        <f>G12/7</f>
        <v>41.428571428571431</v>
      </c>
      <c r="H17" s="133">
        <f>H12/7</f>
        <v>44.285714285714285</v>
      </c>
      <c r="I17" s="26"/>
      <c r="J17" s="26"/>
      <c r="K17" s="98"/>
      <c r="L17" s="116"/>
      <c r="N17" s="210" t="s">
        <v>70</v>
      </c>
      <c r="O17" s="211"/>
      <c r="P17" s="211"/>
      <c r="Q17" s="212"/>
      <c r="R17" s="26"/>
      <c r="S17" s="26"/>
      <c r="T17" s="26"/>
      <c r="U17" s="163" t="s">
        <v>82</v>
      </c>
      <c r="V17" s="164"/>
      <c r="W17" s="164"/>
      <c r="X17" s="164"/>
      <c r="Y17" s="164"/>
      <c r="Z17" s="165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42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</row>
    <row r="18" spans="1:66" ht="15.75" thickTop="1" x14ac:dyDescent="0.25">
      <c r="A18" s="41"/>
      <c r="B18" s="26"/>
      <c r="C18" s="26"/>
      <c r="D18" s="26">
        <v>3</v>
      </c>
      <c r="E18" s="133">
        <f t="shared" ref="E18:H18" si="0">E14/7</f>
        <v>0</v>
      </c>
      <c r="F18" s="133">
        <f t="shared" si="0"/>
        <v>37.857142857142854</v>
      </c>
      <c r="G18" s="133">
        <f t="shared" si="0"/>
        <v>40</v>
      </c>
      <c r="H18" s="133">
        <f t="shared" si="0"/>
        <v>42.857142857142854</v>
      </c>
      <c r="I18" s="26"/>
      <c r="J18" s="26"/>
      <c r="K18" s="98"/>
      <c r="L18" s="116"/>
      <c r="N18" s="201" t="s">
        <v>68</v>
      </c>
      <c r="O18" s="202"/>
      <c r="P18" s="202"/>
      <c r="Q18" s="203"/>
      <c r="R18" s="26"/>
      <c r="S18" s="26"/>
      <c r="T18" s="26"/>
      <c r="U18" s="168" t="s">
        <v>97</v>
      </c>
      <c r="V18" s="169"/>
      <c r="W18" s="159">
        <v>0.85</v>
      </c>
      <c r="X18" s="159"/>
      <c r="Y18" s="159"/>
      <c r="Z18" s="160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42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</row>
    <row r="19" spans="1:66" x14ac:dyDescent="0.25">
      <c r="A19" s="41"/>
      <c r="B19" s="26"/>
      <c r="C19" s="26"/>
      <c r="D19" s="26">
        <v>4</v>
      </c>
      <c r="E19" s="133">
        <f t="shared" ref="E19:H19" si="1">E15/7</f>
        <v>0</v>
      </c>
      <c r="F19" s="133">
        <f t="shared" si="1"/>
        <v>37.142857142857146</v>
      </c>
      <c r="G19" s="133">
        <f t="shared" si="1"/>
        <v>39.285714285714285</v>
      </c>
      <c r="H19" s="133">
        <f t="shared" si="1"/>
        <v>42.142857142857146</v>
      </c>
      <c r="I19" s="26"/>
      <c r="J19" s="26"/>
      <c r="K19" s="98"/>
      <c r="L19" s="116"/>
      <c r="N19" s="198" t="s">
        <v>73</v>
      </c>
      <c r="O19" s="199"/>
      <c r="P19" s="199"/>
      <c r="Q19" s="200"/>
      <c r="R19" s="26"/>
      <c r="S19" s="26"/>
      <c r="T19" s="26"/>
      <c r="U19" s="168" t="s">
        <v>95</v>
      </c>
      <c r="V19" s="169"/>
      <c r="W19" s="161">
        <f>W18*0.1</f>
        <v>8.5000000000000006E-2</v>
      </c>
      <c r="X19" s="161"/>
      <c r="Y19" s="161"/>
      <c r="Z19" s="162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42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</row>
    <row r="20" spans="1:66" x14ac:dyDescent="0.25">
      <c r="A20" s="41"/>
      <c r="B20" s="26"/>
      <c r="C20" s="215" t="s">
        <v>33</v>
      </c>
      <c r="D20" s="215"/>
      <c r="E20" s="133"/>
      <c r="F20" s="133"/>
      <c r="G20" s="133"/>
      <c r="H20" s="133"/>
      <c r="I20" s="26"/>
      <c r="J20" s="26"/>
      <c r="K20" s="98"/>
      <c r="L20" s="116"/>
      <c r="N20" s="201" t="s">
        <v>67</v>
      </c>
      <c r="O20" s="202"/>
      <c r="P20" s="202"/>
      <c r="Q20" s="203"/>
      <c r="R20" s="26"/>
      <c r="S20" s="26"/>
      <c r="T20" s="26"/>
      <c r="U20" s="168" t="s">
        <v>101</v>
      </c>
      <c r="V20" s="169"/>
      <c r="W20" s="173">
        <f>W18*0.34</f>
        <v>0.28900000000000003</v>
      </c>
      <c r="X20" s="174"/>
      <c r="Y20" s="174"/>
      <c r="Z20" s="175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42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</row>
    <row r="21" spans="1:66" ht="16.5" thickBot="1" x14ac:dyDescent="0.3">
      <c r="A21" s="41"/>
      <c r="B21" s="26"/>
      <c r="C21" s="134">
        <v>5</v>
      </c>
      <c r="D21" s="26" t="s">
        <v>23</v>
      </c>
      <c r="E21" s="133"/>
      <c r="F21" s="153">
        <f>IF($K$66+$K$67+$K$68&lt;3,F17,0)</f>
        <v>39.285714285714285</v>
      </c>
      <c r="G21" s="153">
        <f t="shared" ref="G21:H21" si="2">IF($K$66+$K$67+$K$68&lt;3,G17,0)</f>
        <v>41.428571428571431</v>
      </c>
      <c r="H21" s="153">
        <f t="shared" si="2"/>
        <v>44.285714285714285</v>
      </c>
      <c r="I21" s="26"/>
      <c r="J21" s="26"/>
      <c r="K21" s="98"/>
      <c r="L21" s="116"/>
      <c r="N21" s="201" t="s">
        <v>72</v>
      </c>
      <c r="O21" s="202"/>
      <c r="P21" s="202"/>
      <c r="Q21" s="203"/>
      <c r="R21" s="26"/>
      <c r="S21" s="26"/>
      <c r="T21" s="26"/>
      <c r="U21" s="166" t="s">
        <v>96</v>
      </c>
      <c r="V21" s="167"/>
      <c r="W21" s="170">
        <f>SUM(W18:W20)</f>
        <v>1.224</v>
      </c>
      <c r="X21" s="171"/>
      <c r="Y21" s="171"/>
      <c r="Z21" s="172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42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</row>
    <row r="22" spans="1:66" ht="15.75" thickBot="1" x14ac:dyDescent="0.3">
      <c r="A22" s="41"/>
      <c r="B22" s="26"/>
      <c r="C22" s="26"/>
      <c r="D22" s="26">
        <v>3</v>
      </c>
      <c r="E22" s="133">
        <v>0</v>
      </c>
      <c r="F22" s="153">
        <f>IF($K$66+$K$67+$K$68=3,F18,0)</f>
        <v>0</v>
      </c>
      <c r="G22" s="153">
        <f t="shared" ref="G22:H22" si="3">IF($K$66+$K$67+$K$68=3,G18,0)</f>
        <v>0</v>
      </c>
      <c r="H22" s="153">
        <f t="shared" si="3"/>
        <v>0</v>
      </c>
      <c r="I22" s="26"/>
      <c r="J22" s="26"/>
      <c r="K22" s="98"/>
      <c r="L22" s="116"/>
      <c r="N22" s="223" t="s">
        <v>71</v>
      </c>
      <c r="O22" s="224"/>
      <c r="P22" s="224"/>
      <c r="Q22" s="225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42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</row>
    <row r="23" spans="1:66" x14ac:dyDescent="0.25">
      <c r="A23" s="41"/>
      <c r="B23" s="26"/>
      <c r="C23" s="26"/>
      <c r="D23" s="26">
        <v>4</v>
      </c>
      <c r="E23" s="133">
        <v>0</v>
      </c>
      <c r="F23" s="153">
        <f>IF($K$66+$K$67+$K$68=4,F19,0)</f>
        <v>0</v>
      </c>
      <c r="G23" s="153">
        <f t="shared" ref="G23:H23" si="4">IF($K$66+$K$67+$K$68=4,G19,0)</f>
        <v>0</v>
      </c>
      <c r="H23" s="153">
        <f t="shared" si="4"/>
        <v>0</v>
      </c>
      <c r="I23" s="26"/>
      <c r="J23" s="26"/>
      <c r="K23" s="98"/>
      <c r="L23" s="11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42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</row>
    <row r="24" spans="1:66" x14ac:dyDescent="0.25">
      <c r="A24" s="41"/>
      <c r="B24" s="26"/>
      <c r="C24" s="215" t="s">
        <v>75</v>
      </c>
      <c r="D24" s="215"/>
      <c r="E24" s="135">
        <f>SUM(E21:E23)</f>
        <v>0</v>
      </c>
      <c r="F24" s="135">
        <f t="shared" ref="F24:H24" si="5">SUM(F21:F23)</f>
        <v>39.285714285714285</v>
      </c>
      <c r="G24" s="135">
        <f t="shared" si="5"/>
        <v>41.428571428571431</v>
      </c>
      <c r="H24" s="135">
        <f t="shared" si="5"/>
        <v>44.285714285714285</v>
      </c>
      <c r="I24" s="26"/>
      <c r="J24" s="26"/>
      <c r="K24" s="98"/>
      <c r="L24" s="11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42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</row>
    <row r="25" spans="1:66" x14ac:dyDescent="0.25">
      <c r="A25" s="41"/>
      <c r="B25" s="26"/>
      <c r="C25" s="215" t="s">
        <v>28</v>
      </c>
      <c r="D25" s="215"/>
      <c r="E25" s="132"/>
      <c r="F25" s="132"/>
      <c r="G25" s="132"/>
      <c r="H25" s="132"/>
      <c r="I25" s="26"/>
      <c r="J25" s="26"/>
      <c r="K25" s="98"/>
      <c r="L25" s="42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42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</row>
    <row r="26" spans="1:66" x14ac:dyDescent="0.25">
      <c r="A26" s="41"/>
      <c r="B26" s="26"/>
      <c r="C26" s="26" t="s">
        <v>24</v>
      </c>
      <c r="D26" s="26" t="s">
        <v>76</v>
      </c>
      <c r="E26" s="136">
        <f>(E12-C9)*20%</f>
        <v>0</v>
      </c>
      <c r="F26" s="136">
        <f>(F12-D9)*20%</f>
        <v>55</v>
      </c>
      <c r="G26" s="136">
        <f>(G12-E9)*20%</f>
        <v>58</v>
      </c>
      <c r="H26" s="136">
        <f>(H12-C9)*20%</f>
        <v>62</v>
      </c>
      <c r="I26" s="26"/>
      <c r="J26" s="26"/>
      <c r="K26" s="98"/>
      <c r="L26" s="11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42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</row>
    <row r="27" spans="1:66" x14ac:dyDescent="0.25">
      <c r="A27" s="41"/>
      <c r="B27" s="26"/>
      <c r="C27" s="26" t="s">
        <v>24</v>
      </c>
      <c r="D27" s="26" t="s">
        <v>77</v>
      </c>
      <c r="E27" s="137">
        <f>E26-4</f>
        <v>-4</v>
      </c>
      <c r="F27" s="137">
        <f t="shared" ref="F27:H27" si="6">F26-4</f>
        <v>51</v>
      </c>
      <c r="G27" s="137">
        <f t="shared" si="6"/>
        <v>54</v>
      </c>
      <c r="H27" s="137">
        <f t="shared" si="6"/>
        <v>58</v>
      </c>
      <c r="I27" s="26"/>
      <c r="J27" s="26"/>
      <c r="K27" s="98"/>
      <c r="L27" s="11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42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</row>
    <row r="28" spans="1:66" ht="15.75" customHeight="1" x14ac:dyDescent="0.25">
      <c r="A28" s="41"/>
      <c r="B28" s="26"/>
      <c r="C28" s="26" t="s">
        <v>24</v>
      </c>
      <c r="D28" s="26" t="s">
        <v>26</v>
      </c>
      <c r="E28" s="137">
        <f>E27-5</f>
        <v>-9</v>
      </c>
      <c r="F28" s="137">
        <f t="shared" ref="F28:H28" si="7">F27-5</f>
        <v>46</v>
      </c>
      <c r="G28" s="137">
        <f t="shared" si="7"/>
        <v>49</v>
      </c>
      <c r="H28" s="137">
        <f t="shared" si="7"/>
        <v>53</v>
      </c>
      <c r="I28" s="26"/>
      <c r="J28" s="26"/>
      <c r="K28" s="98"/>
      <c r="L28" s="11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42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</row>
    <row r="29" spans="1:66" x14ac:dyDescent="0.25">
      <c r="A29" s="41"/>
      <c r="B29" s="26"/>
      <c r="C29" s="26" t="s">
        <v>24</v>
      </c>
      <c r="D29" s="26" t="s">
        <v>27</v>
      </c>
      <c r="E29" s="137">
        <f>ROUNDUP((E12-20)/6,0)</f>
        <v>-4</v>
      </c>
      <c r="F29" s="137">
        <f>ROUNDUP((F12-20)/6,0)</f>
        <v>43</v>
      </c>
      <c r="G29" s="137">
        <f>ROUNDUP((G12-20)/6,0)</f>
        <v>45</v>
      </c>
      <c r="H29" s="137">
        <f>ROUNDUP((H12-20)/6,0)</f>
        <v>49</v>
      </c>
      <c r="I29" s="26"/>
      <c r="J29" s="26"/>
      <c r="K29" s="98"/>
      <c r="L29" s="11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42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</row>
    <row r="30" spans="1:66" ht="17.25" x14ac:dyDescent="0.25">
      <c r="A30" s="41"/>
      <c r="B30" s="26"/>
      <c r="C30" s="215" t="s">
        <v>30</v>
      </c>
      <c r="D30" s="215"/>
      <c r="E30" s="88"/>
      <c r="F30" s="88">
        <f>O12</f>
        <v>2</v>
      </c>
      <c r="G30" s="88">
        <f>O12</f>
        <v>2</v>
      </c>
      <c r="H30" s="88">
        <f>O12</f>
        <v>2</v>
      </c>
      <c r="I30" s="26"/>
      <c r="J30" s="26"/>
      <c r="K30" s="98"/>
      <c r="L30" s="11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42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</row>
    <row r="31" spans="1:66" ht="15.6" customHeight="1" x14ac:dyDescent="0.25">
      <c r="A31" s="41"/>
      <c r="B31" s="26"/>
      <c r="C31" s="215" t="s">
        <v>31</v>
      </c>
      <c r="D31" s="215"/>
      <c r="E31" s="15">
        <f>IF(P10&gt;1,P10,0)</f>
        <v>7</v>
      </c>
      <c r="F31" s="138">
        <f>E31</f>
        <v>7</v>
      </c>
      <c r="G31" s="138">
        <f t="shared" ref="G31:H31" si="8">F31</f>
        <v>7</v>
      </c>
      <c r="H31" s="138">
        <f t="shared" si="8"/>
        <v>7</v>
      </c>
      <c r="I31" s="26"/>
      <c r="J31" s="26"/>
      <c r="K31" s="98"/>
      <c r="L31" s="11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42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</row>
    <row r="32" spans="1:66" ht="14.45" customHeight="1" x14ac:dyDescent="0.25">
      <c r="A32" s="41"/>
      <c r="B32" s="26"/>
      <c r="C32" s="124"/>
      <c r="D32" s="26" t="s">
        <v>78</v>
      </c>
      <c r="E32" s="14">
        <f>IF(E31&lt;3,E26,0)</f>
        <v>0</v>
      </c>
      <c r="F32" s="14">
        <f t="shared" ref="F32:H32" si="9">IF(F31&lt;3,F26,0)</f>
        <v>0</v>
      </c>
      <c r="G32" s="14">
        <f t="shared" si="9"/>
        <v>0</v>
      </c>
      <c r="H32" s="14">
        <f t="shared" si="9"/>
        <v>0</v>
      </c>
      <c r="I32" s="26"/>
      <c r="J32" s="26"/>
      <c r="K32" s="98"/>
      <c r="L32" s="11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42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</row>
    <row r="33" spans="1:66" ht="17.45" customHeight="1" x14ac:dyDescent="0.25">
      <c r="A33" s="41"/>
      <c r="B33" s="26"/>
      <c r="C33" s="124"/>
      <c r="D33" s="26" t="s">
        <v>77</v>
      </c>
      <c r="E33" s="14" t="b">
        <f>IF(E31=3,E27,IF(E31=4,E27))</f>
        <v>0</v>
      </c>
      <c r="F33" s="14" t="b">
        <f t="shared" ref="F33:H33" si="10">IF(F31=3,F27,IF(F31=4,F27))</f>
        <v>0</v>
      </c>
      <c r="G33" s="14" t="b">
        <f t="shared" si="10"/>
        <v>0</v>
      </c>
      <c r="H33" s="14" t="b">
        <f t="shared" si="10"/>
        <v>0</v>
      </c>
      <c r="I33" s="26"/>
      <c r="J33" s="26"/>
      <c r="K33" s="98"/>
      <c r="L33" s="11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42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</row>
    <row r="34" spans="1:66" ht="17.45" customHeight="1" thickBot="1" x14ac:dyDescent="0.3">
      <c r="A34" s="41"/>
      <c r="B34" s="26"/>
      <c r="C34" s="26"/>
      <c r="D34" s="26" t="s">
        <v>26</v>
      </c>
      <c r="E34" s="14">
        <f>IF(E31=5,E28,0)</f>
        <v>0</v>
      </c>
      <c r="F34" s="14">
        <f t="shared" ref="F34:H34" si="11">IF(F31=5,F28,0)</f>
        <v>0</v>
      </c>
      <c r="G34" s="14">
        <f t="shared" si="11"/>
        <v>0</v>
      </c>
      <c r="H34" s="14">
        <f t="shared" si="11"/>
        <v>0</v>
      </c>
      <c r="I34" s="26"/>
      <c r="J34" s="26"/>
      <c r="K34" s="98"/>
      <c r="L34" s="11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42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</row>
    <row r="35" spans="1:66" ht="17.45" customHeight="1" thickTop="1" thickBot="1" x14ac:dyDescent="0.3">
      <c r="A35" s="40"/>
      <c r="B35" s="40"/>
      <c r="C35" s="40"/>
      <c r="D35" s="40" t="s">
        <v>27</v>
      </c>
      <c r="E35" s="139">
        <f>IF(E31=6,E29,0)</f>
        <v>0</v>
      </c>
      <c r="F35" s="139">
        <f>IF(F31=6,F29,0)</f>
        <v>0</v>
      </c>
      <c r="G35" s="139">
        <f>IF(G31=6,G29,0)</f>
        <v>0</v>
      </c>
      <c r="H35" s="139">
        <f>IF(H31=6,H29,0)</f>
        <v>0</v>
      </c>
      <c r="I35" s="40"/>
      <c r="J35" s="40"/>
      <c r="K35" s="50"/>
      <c r="L35" s="51"/>
      <c r="M35" s="51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</row>
    <row r="36" spans="1:66" ht="17.45" customHeight="1" thickTop="1" x14ac:dyDescent="0.25">
      <c r="B36" s="26"/>
      <c r="C36" s="26"/>
      <c r="D36" s="140" t="s">
        <v>32</v>
      </c>
      <c r="E36" s="14">
        <f>IF(E30=1,E32+E33+E34+E35,0)</f>
        <v>0</v>
      </c>
      <c r="F36" s="14">
        <f>IF(F30=2,F32+F33+F34+F35,0)</f>
        <v>0</v>
      </c>
      <c r="G36" s="14">
        <f>IF(G30=3,G32+G33+G34+G35,0)</f>
        <v>0</v>
      </c>
      <c r="H36" s="14">
        <f>IF(H30=4,H32+H33+H34+H35,0)</f>
        <v>0</v>
      </c>
      <c r="I36" s="26"/>
      <c r="J36" s="26"/>
      <c r="K36" s="98"/>
      <c r="L36" s="1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</row>
    <row r="37" spans="1:66" ht="14.45" customHeight="1" x14ac:dyDescent="0.25">
      <c r="B37" s="26"/>
      <c r="C37" s="215" t="s">
        <v>20</v>
      </c>
      <c r="D37" s="215"/>
      <c r="E37" s="142">
        <f>IF(E31&gt;0,E36,0)</f>
        <v>0</v>
      </c>
      <c r="F37" s="142">
        <f t="shared" ref="F37:H37" si="12">IF(F31&gt;0,F36,0)</f>
        <v>0</v>
      </c>
      <c r="G37" s="142">
        <f t="shared" si="12"/>
        <v>0</v>
      </c>
      <c r="H37" s="142">
        <f t="shared" si="12"/>
        <v>0</v>
      </c>
      <c r="I37" s="26"/>
      <c r="J37" s="26"/>
      <c r="K37" s="98"/>
      <c r="L37" s="1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</row>
    <row r="38" spans="1:66" ht="14.45" customHeight="1" x14ac:dyDescent="0.25">
      <c r="E38" s="14"/>
      <c r="F38" s="14"/>
      <c r="G38" s="14"/>
      <c r="H38" s="14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</row>
    <row r="39" spans="1:66" ht="14.45" customHeight="1" x14ac:dyDescent="0.25">
      <c r="C39" s="218" t="s">
        <v>34</v>
      </c>
      <c r="D39" s="218"/>
      <c r="E39" s="218"/>
      <c r="F39" s="218"/>
      <c r="G39" s="218"/>
      <c r="H39" s="218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</row>
    <row r="40" spans="1:66" ht="15.6" customHeight="1" x14ac:dyDescent="0.25">
      <c r="C40" s="52" t="s">
        <v>59</v>
      </c>
      <c r="D40" s="53">
        <v>0.25</v>
      </c>
      <c r="E40" s="67">
        <f>E37/4</f>
        <v>0</v>
      </c>
      <c r="F40" s="68">
        <f>F37/4</f>
        <v>0</v>
      </c>
      <c r="G40" s="69">
        <f>G37/4</f>
        <v>0</v>
      </c>
      <c r="H40" s="70">
        <f>H37/4</f>
        <v>0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</row>
    <row r="41" spans="1:66" ht="14.45" customHeight="1" x14ac:dyDescent="0.25">
      <c r="C41" s="54" t="s">
        <v>61</v>
      </c>
      <c r="D41" s="55">
        <f>SUM(E41:H41)</f>
        <v>0</v>
      </c>
      <c r="E41" s="56">
        <f>IF(E30=1,E40,0)</f>
        <v>0</v>
      </c>
      <c r="F41" s="56">
        <f>IF(F30=2,F40,0)</f>
        <v>0</v>
      </c>
      <c r="G41" s="56">
        <f>IF(G30=3,G40,0)</f>
        <v>0</v>
      </c>
      <c r="H41" s="56">
        <f>IF(H30=4,H40,0)</f>
        <v>0</v>
      </c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</row>
    <row r="42" spans="1:66" ht="15.6" customHeight="1" x14ac:dyDescent="0.25">
      <c r="C42" s="218" t="s">
        <v>60</v>
      </c>
      <c r="D42" s="218"/>
      <c r="E42" s="218"/>
      <c r="F42" s="218"/>
      <c r="G42" s="218"/>
      <c r="H42" s="218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</row>
    <row r="43" spans="1:66" ht="15.6" customHeight="1" x14ac:dyDescent="0.25">
      <c r="C43" s="54" t="s">
        <v>61</v>
      </c>
      <c r="D43" s="57">
        <f>SUM(E43:H43)*D40</f>
        <v>68.75</v>
      </c>
      <c r="E43" s="58">
        <f>IF(E30=1,E12,0)</f>
        <v>0</v>
      </c>
      <c r="F43" s="58">
        <f>IF(F30=2,F12,0)</f>
        <v>275</v>
      </c>
      <c r="G43" s="58">
        <f>IF(G30=3,G12,0)</f>
        <v>0</v>
      </c>
      <c r="H43" s="58">
        <f>IF(H30=4,H12,0)</f>
        <v>0</v>
      </c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</row>
    <row r="44" spans="1:66" ht="15.6" customHeight="1" x14ac:dyDescent="0.25">
      <c r="C44" s="38" t="s">
        <v>16</v>
      </c>
      <c r="D44" s="59">
        <f>ROUNDDOWN(D43,0)</f>
        <v>68</v>
      </c>
      <c r="E44" s="60"/>
      <c r="F44" s="60"/>
      <c r="G44" s="60"/>
      <c r="H44" s="60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</row>
    <row r="45" spans="1:66" ht="15.6" customHeight="1" x14ac:dyDescent="0.25">
      <c r="E45" s="60"/>
      <c r="F45" s="60"/>
      <c r="G45" s="60"/>
      <c r="H45" s="60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</row>
    <row r="46" spans="1:66" ht="15.6" customHeight="1" x14ac:dyDescent="0.25">
      <c r="C46" s="219" t="s">
        <v>79</v>
      </c>
      <c r="D46" s="219"/>
      <c r="E46" s="16">
        <f>IF(E31=0,E24/4,0)</f>
        <v>0</v>
      </c>
      <c r="F46" s="16">
        <f t="shared" ref="F46:H46" si="13">IF(F31=0,F24/4,0)</f>
        <v>0</v>
      </c>
      <c r="G46" s="16">
        <f t="shared" si="13"/>
        <v>0</v>
      </c>
      <c r="H46" s="16">
        <f t="shared" si="13"/>
        <v>0</v>
      </c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</row>
    <row r="47" spans="1:66" ht="15.6" customHeight="1" x14ac:dyDescent="0.25">
      <c r="C47" s="38"/>
      <c r="D47" s="24">
        <f>SUM(E47:H47)</f>
        <v>0</v>
      </c>
      <c r="E47" s="67">
        <f>IF(E30=1,E46,0)</f>
        <v>0</v>
      </c>
      <c r="F47" s="68">
        <f>IF(F30=2,F46,0)</f>
        <v>0</v>
      </c>
      <c r="G47" s="69">
        <f>IF(G30=3,G46,0)</f>
        <v>0</v>
      </c>
      <c r="H47" s="70">
        <f>IF(H30=4,H46,0)</f>
        <v>0</v>
      </c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</row>
    <row r="48" spans="1:66" ht="15.6" customHeight="1" x14ac:dyDescent="0.25">
      <c r="C48" s="220" t="s">
        <v>80</v>
      </c>
      <c r="D48" s="220"/>
      <c r="E48" s="60"/>
      <c r="F48" s="60"/>
      <c r="G48" s="60"/>
      <c r="H48" s="60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</row>
    <row r="49" spans="1:131" ht="15.6" customHeight="1" x14ac:dyDescent="0.25">
      <c r="C49" s="216">
        <f>D41+D47</f>
        <v>0</v>
      </c>
      <c r="D49" s="217"/>
      <c r="E49" s="60"/>
      <c r="F49" s="60"/>
      <c r="G49" s="60"/>
      <c r="H49" s="60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</row>
    <row r="50" spans="1:131" ht="15.6" customHeight="1" x14ac:dyDescent="0.25">
      <c r="E50" s="60"/>
      <c r="F50" s="60"/>
      <c r="G50" s="60"/>
      <c r="H50" s="60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</row>
    <row r="51" spans="1:131" ht="15.6" customHeight="1" x14ac:dyDescent="0.25">
      <c r="E51" s="60"/>
      <c r="F51" s="60"/>
      <c r="G51" s="60"/>
      <c r="H51" s="60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</row>
    <row r="52" spans="1:131" ht="15.6" customHeight="1" x14ac:dyDescent="0.25">
      <c r="E52" s="60"/>
      <c r="F52" s="60"/>
      <c r="G52" s="60"/>
      <c r="H52" s="60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</row>
    <row r="53" spans="1:131" ht="15.6" customHeight="1" x14ac:dyDescent="0.25">
      <c r="E53" s="60"/>
      <c r="F53" s="60"/>
      <c r="G53" s="60"/>
      <c r="H53" s="60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</row>
    <row r="54" spans="1:131" ht="15.6" customHeight="1" x14ac:dyDescent="0.25">
      <c r="E54" s="60"/>
      <c r="F54" s="60"/>
      <c r="G54" s="60"/>
      <c r="H54" s="60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</row>
    <row r="55" spans="1:131" ht="15.6" customHeight="1" x14ac:dyDescent="0.25">
      <c r="E55" s="60"/>
      <c r="F55" s="60"/>
      <c r="G55" s="60"/>
      <c r="H55" s="60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</row>
    <row r="56" spans="1:131" ht="15.6" customHeight="1" x14ac:dyDescent="0.25">
      <c r="E56" s="60"/>
      <c r="F56" s="60"/>
      <c r="G56" s="60"/>
      <c r="H56" s="60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</row>
    <row r="57" spans="1:131" ht="15.6" customHeight="1" x14ac:dyDescent="0.25">
      <c r="E57" s="60"/>
      <c r="F57" s="60"/>
      <c r="G57" s="60"/>
      <c r="H57" s="60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</row>
    <row r="58" spans="1:131" ht="15.6" customHeight="1" x14ac:dyDescent="0.25">
      <c r="E58" s="60"/>
      <c r="F58" s="60"/>
      <c r="G58" s="60"/>
      <c r="H58" s="60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</row>
    <row r="59" spans="1:131" ht="15.6" customHeight="1" x14ac:dyDescent="0.25">
      <c r="E59" s="60"/>
      <c r="F59" s="60"/>
      <c r="G59" s="60"/>
      <c r="H59" s="60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</row>
    <row r="60" spans="1:131" ht="15.6" customHeight="1" x14ac:dyDescent="0.25">
      <c r="B60" s="3"/>
      <c r="E60" s="60"/>
      <c r="F60" s="60"/>
      <c r="G60" s="60"/>
      <c r="H60" s="60"/>
      <c r="L60" s="152">
        <f>H69*K69</f>
        <v>0</v>
      </c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</row>
    <row r="61" spans="1:131" s="3" customFormat="1" ht="17.45" customHeight="1" x14ac:dyDescent="0.25">
      <c r="A61" s="28"/>
      <c r="D61" s="222" t="s">
        <v>11</v>
      </c>
      <c r="E61" s="222"/>
      <c r="F61" s="221">
        <f>O10</f>
        <v>46089</v>
      </c>
      <c r="G61" s="221"/>
      <c r="H61" s="221"/>
      <c r="I61" s="25" t="s">
        <v>12</v>
      </c>
      <c r="J61" s="25"/>
      <c r="K61" s="25"/>
      <c r="L61" s="25"/>
      <c r="M61" s="25"/>
      <c r="N61" s="26"/>
      <c r="O61" s="26"/>
      <c r="P61" s="26"/>
      <c r="Q61" s="26"/>
      <c r="R61" s="28"/>
      <c r="S61" s="28"/>
      <c r="T61" s="28"/>
      <c r="U61" s="26"/>
      <c r="V61" s="26"/>
      <c r="W61" s="26"/>
      <c r="X61" s="26"/>
      <c r="Y61" s="26"/>
      <c r="Z61" s="26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</row>
    <row r="62" spans="1:131" s="3" customFormat="1" ht="17.45" customHeight="1" x14ac:dyDescent="0.25">
      <c r="A62" s="28"/>
      <c r="D62" s="222" t="s">
        <v>13</v>
      </c>
      <c r="E62" s="222"/>
      <c r="F62" s="221">
        <f>O11</f>
        <v>46096</v>
      </c>
      <c r="G62" s="221"/>
      <c r="H62" s="221"/>
      <c r="I62" s="25" t="s">
        <v>15</v>
      </c>
      <c r="J62" s="25"/>
      <c r="K62" s="25"/>
      <c r="L62" s="25"/>
      <c r="M62" s="25"/>
      <c r="N62" s="26"/>
      <c r="O62" s="26"/>
      <c r="P62" s="26"/>
      <c r="Q62" s="26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/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/>
      <c r="DM62" s="28"/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</row>
    <row r="63" spans="1:131" s="3" customFormat="1" ht="10.15" customHeight="1" x14ac:dyDescent="0.25">
      <c r="A63" s="28"/>
      <c r="B63" s="2"/>
      <c r="D63" s="4"/>
      <c r="E63" s="4"/>
      <c r="F63" s="9"/>
      <c r="G63" s="9"/>
      <c r="H63" s="9"/>
      <c r="I63" s="9"/>
      <c r="J63" s="9"/>
      <c r="K63" s="9"/>
      <c r="L63" s="9"/>
      <c r="M63" s="9"/>
      <c r="N63" s="28"/>
      <c r="O63" s="43"/>
      <c r="P63" s="44"/>
      <c r="Q63" s="44"/>
      <c r="R63" s="44"/>
      <c r="S63" s="44"/>
      <c r="T63" s="44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</row>
    <row r="64" spans="1:131" s="2" customFormat="1" ht="17.45" customHeight="1" x14ac:dyDescent="0.25">
      <c r="A64" s="29"/>
      <c r="D64" s="214" t="s">
        <v>37</v>
      </c>
      <c r="E64" s="214"/>
      <c r="F64" s="214" t="s">
        <v>0</v>
      </c>
      <c r="G64" s="20" t="s">
        <v>1</v>
      </c>
      <c r="H64" s="20"/>
      <c r="I64" s="20"/>
      <c r="J64" s="20"/>
      <c r="K64" s="214" t="s">
        <v>2</v>
      </c>
      <c r="L64" s="214" t="s">
        <v>3</v>
      </c>
      <c r="M64" s="20"/>
      <c r="N64" s="28"/>
      <c r="O64" s="43"/>
      <c r="P64" s="44"/>
      <c r="Q64" s="44"/>
      <c r="R64" s="30"/>
      <c r="S64" s="30"/>
      <c r="T64" s="30"/>
      <c r="U64" s="44"/>
      <c r="V64" s="44"/>
      <c r="W64" s="44"/>
      <c r="X64" s="44"/>
      <c r="Y64" s="44"/>
      <c r="Z64" s="44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</row>
    <row r="65" spans="1:131" s="2" customFormat="1" ht="17.45" customHeight="1" x14ac:dyDescent="0.25">
      <c r="A65" s="29"/>
      <c r="D65" s="214"/>
      <c r="E65" s="214"/>
      <c r="F65" s="214"/>
      <c r="G65" s="71">
        <v>1</v>
      </c>
      <c r="H65" s="72">
        <v>2</v>
      </c>
      <c r="I65" s="73">
        <v>3</v>
      </c>
      <c r="J65" s="74">
        <v>4</v>
      </c>
      <c r="K65" s="214"/>
      <c r="L65" s="214"/>
      <c r="M65" s="20"/>
      <c r="N65" s="28"/>
      <c r="O65" s="43"/>
      <c r="P65" s="44"/>
      <c r="Q65" s="44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</row>
    <row r="66" spans="1:131" s="2" customFormat="1" ht="17.649999999999999" customHeight="1" x14ac:dyDescent="0.25">
      <c r="A66" s="29"/>
      <c r="D66" s="213" t="s">
        <v>4</v>
      </c>
      <c r="E66" s="213"/>
      <c r="F66" s="65">
        <f>O12</f>
        <v>2</v>
      </c>
      <c r="G66" s="75">
        <f>IF($F$66=1,'calcul prix séjour'!E12,0)</f>
        <v>0</v>
      </c>
      <c r="H66" s="76">
        <f>IF($F$66=2,'calcul prix séjour'!F12,0)</f>
        <v>275</v>
      </c>
      <c r="I66" s="77">
        <f>IF($F$66=3,'calcul prix séjour'!G12,0)</f>
        <v>0</v>
      </c>
      <c r="J66" s="77">
        <f>IF($F$66=4,'calcul prix séjour'!H12,0)</f>
        <v>0</v>
      </c>
      <c r="K66" s="154">
        <f>IF(AZ86&lt;3,AZ86,0)</f>
        <v>1</v>
      </c>
      <c r="L66" s="21">
        <f>SUM(G66:J66)*K66</f>
        <v>275</v>
      </c>
      <c r="M66" s="21"/>
      <c r="N66" s="29"/>
      <c r="O66" s="26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</row>
    <row r="67" spans="1:131" s="2" customFormat="1" ht="17.649999999999999" customHeight="1" x14ac:dyDescent="0.25">
      <c r="A67" s="29"/>
      <c r="D67" s="213" t="s">
        <v>5</v>
      </c>
      <c r="E67" s="213"/>
      <c r="F67" s="231" t="str">
        <f>IF(F66=2,"Normale",IF(F66=1,"Basse",IF(F66=3,"Haute",IF(F66=4,"Très Haute"))))</f>
        <v>Normale</v>
      </c>
      <c r="G67" s="75">
        <f>IF($F$66=1,'calcul prix séjour'!E14,0)</f>
        <v>0</v>
      </c>
      <c r="H67" s="76">
        <f>IF($F$66=2,'calcul prix séjour'!F14,0)</f>
        <v>265</v>
      </c>
      <c r="I67" s="77">
        <f>IF($F$66=3,'calcul prix séjour'!G14,0)</f>
        <v>0</v>
      </c>
      <c r="J67" s="77">
        <f>IF($F$66=4,'calcul prix séjour'!H14,0)</f>
        <v>0</v>
      </c>
      <c r="K67" s="154">
        <f>IF(AZ86=3,AZ86,0)</f>
        <v>0</v>
      </c>
      <c r="L67" s="21">
        <f>SUM(G67:J67)*K67</f>
        <v>0</v>
      </c>
      <c r="M67" s="21"/>
      <c r="N67" s="29"/>
      <c r="O67" s="26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</row>
    <row r="68" spans="1:131" s="2" customFormat="1" ht="17.649999999999999" customHeight="1" x14ac:dyDescent="0.25">
      <c r="A68" s="29"/>
      <c r="D68" s="213" t="s">
        <v>6</v>
      </c>
      <c r="E68" s="213"/>
      <c r="F68" s="231"/>
      <c r="G68" s="75">
        <f>IF($F$66=1,'calcul prix séjour'!E15,0)</f>
        <v>0</v>
      </c>
      <c r="H68" s="76">
        <f>IF($F$66=2,'calcul prix séjour'!F15,0)</f>
        <v>260</v>
      </c>
      <c r="I68" s="77">
        <f>IF($F$66=3,'calcul prix séjour'!G15,0)</f>
        <v>0</v>
      </c>
      <c r="J68" s="77">
        <f>IF($F$66=4,'calcul prix séjour'!H15,0)</f>
        <v>0</v>
      </c>
      <c r="K68" s="154">
        <f>IF(AZ86&gt;3,AZ86,0)</f>
        <v>0</v>
      </c>
      <c r="L68" s="21">
        <f>SUM(G68:J68)*K68</f>
        <v>0</v>
      </c>
      <c r="M68" s="21"/>
      <c r="N68" s="29"/>
      <c r="O68" s="26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</row>
    <row r="69" spans="1:131" s="2" customFormat="1" ht="17.649999999999999" customHeight="1" x14ac:dyDescent="0.25">
      <c r="A69" s="29"/>
      <c r="D69" s="213" t="s">
        <v>14</v>
      </c>
      <c r="E69" s="213"/>
      <c r="F69" s="78" t="s">
        <v>16</v>
      </c>
      <c r="G69" s="79">
        <f>IF($F$66=1,'calcul prix séjour'!E24,0)</f>
        <v>0</v>
      </c>
      <c r="H69" s="80">
        <f>IF($F$66=2,'calcul prix séjour'!F24,0)</f>
        <v>39.285714285714285</v>
      </c>
      <c r="I69" s="81">
        <f>IF($F$66=3,'calcul prix séjour'!G24,0)</f>
        <v>0</v>
      </c>
      <c r="J69" s="81">
        <f>IF($F$66=4,'calcul prix séjour'!H24,0)</f>
        <v>0</v>
      </c>
      <c r="K69" s="82">
        <f>IF(K66+K67+K68&gt;=1,BA86,0)</f>
        <v>0</v>
      </c>
      <c r="L69" s="21">
        <f>(G69+H69+I69+J69)*K69</f>
        <v>0</v>
      </c>
      <c r="M69" s="21"/>
      <c r="N69" s="29"/>
      <c r="O69" s="26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</row>
    <row r="70" spans="1:131" s="2" customFormat="1" ht="17.649999999999999" customHeight="1" x14ac:dyDescent="0.25">
      <c r="A70" s="29"/>
      <c r="D70" s="83"/>
      <c r="E70" s="83"/>
      <c r="F70" s="84"/>
      <c r="G70" s="85">
        <f t="shared" ref="G70:J72" si="14">G66/7</f>
        <v>0</v>
      </c>
      <c r="H70" s="85">
        <f t="shared" si="14"/>
        <v>39.285714285714285</v>
      </c>
      <c r="I70" s="85">
        <f>I66/7</f>
        <v>0</v>
      </c>
      <c r="J70" s="85">
        <f t="shared" si="14"/>
        <v>0</v>
      </c>
      <c r="K70" s="86">
        <f>IF(K66&gt;0,G70+H70+I70+J70,0)</f>
        <v>39.285714285714285</v>
      </c>
      <c r="L70" s="22"/>
      <c r="M70" s="21"/>
      <c r="N70" s="29"/>
      <c r="O70" s="26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</row>
    <row r="71" spans="1:131" s="2" customFormat="1" ht="17.649999999999999" customHeight="1" x14ac:dyDescent="0.25">
      <c r="A71" s="29"/>
      <c r="D71" s="83"/>
      <c r="E71" s="83"/>
      <c r="F71" s="84"/>
      <c r="G71" s="85">
        <f t="shared" si="14"/>
        <v>0</v>
      </c>
      <c r="H71" s="85">
        <f t="shared" si="14"/>
        <v>37.857142857142854</v>
      </c>
      <c r="I71" s="85">
        <f t="shared" si="14"/>
        <v>0</v>
      </c>
      <c r="J71" s="85">
        <f t="shared" si="14"/>
        <v>0</v>
      </c>
      <c r="K71" s="86">
        <f>IF(K67&gt;0,G71+H71+I71+J71,0)</f>
        <v>0</v>
      </c>
      <c r="L71" s="22"/>
      <c r="M71" s="21"/>
      <c r="N71" s="29"/>
      <c r="O71" s="26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</row>
    <row r="72" spans="1:131" s="2" customFormat="1" ht="17.649999999999999" customHeight="1" x14ac:dyDescent="0.25">
      <c r="A72" s="29"/>
      <c r="D72" s="83"/>
      <c r="E72" s="83"/>
      <c r="F72" s="84"/>
      <c r="G72" s="85">
        <f t="shared" si="14"/>
        <v>0</v>
      </c>
      <c r="H72" s="85">
        <f t="shared" si="14"/>
        <v>37.142857142857146</v>
      </c>
      <c r="I72" s="85">
        <f t="shared" si="14"/>
        <v>0</v>
      </c>
      <c r="J72" s="85">
        <f t="shared" si="14"/>
        <v>0</v>
      </c>
      <c r="K72" s="86">
        <f>IF(K68&gt;0,G72+H72+I72+J72,0)</f>
        <v>0</v>
      </c>
      <c r="L72" s="22"/>
      <c r="M72" s="21"/>
      <c r="N72" s="29"/>
      <c r="O72" s="26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</row>
    <row r="73" spans="1:131" s="2" customFormat="1" ht="17.649999999999999" customHeight="1" x14ac:dyDescent="0.25">
      <c r="A73" s="29"/>
      <c r="D73" s="213" t="s">
        <v>81</v>
      </c>
      <c r="E73" s="213"/>
      <c r="F73" s="78" t="s">
        <v>16</v>
      </c>
      <c r="G73" s="75">
        <f>IF($K73&lt;6,'calcul prix séjour'!E37,'calcul prix séjour'!E36)</f>
        <v>0</v>
      </c>
      <c r="H73" s="75">
        <f>IF(K73&lt;6,'calcul prix séjour'!F37,'calcul prix séjour'!F36)</f>
        <v>0</v>
      </c>
      <c r="I73" s="75">
        <f>IF(K73&lt;6,'calcul prix séjour'!G37,'calcul prix séjour'!G36)</f>
        <v>0</v>
      </c>
      <c r="J73" s="75">
        <f>IF($K73&lt;6,'calcul prix séjour'!H37,'calcul prix séjour'!H36)</f>
        <v>0</v>
      </c>
      <c r="K73" s="82">
        <f>IF(K67+K68+K69=0,BA86,0)</f>
        <v>0</v>
      </c>
      <c r="L73" s="21">
        <f>SUM(G73:J73)*K73</f>
        <v>0</v>
      </c>
      <c r="M73" s="21"/>
      <c r="N73" s="29"/>
      <c r="O73" s="26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</row>
    <row r="74" spans="1:131" s="2" customFormat="1" ht="18" customHeight="1" x14ac:dyDescent="0.25">
      <c r="A74" s="29"/>
      <c r="B74" s="7"/>
      <c r="D74" s="87" t="s">
        <v>39</v>
      </c>
      <c r="E74" s="61" t="str">
        <f>'calcul prix séjour'!C10</f>
        <v>prix de base</v>
      </c>
      <c r="F74" s="230" t="s">
        <v>38</v>
      </c>
      <c r="G74" s="230"/>
      <c r="H74" s="230"/>
      <c r="I74" s="88" t="s">
        <v>7</v>
      </c>
      <c r="J74" s="88"/>
      <c r="K74" s="227">
        <f>IF(AX86&lt;91,L66+L67+L68+L69+L73)</f>
        <v>275</v>
      </c>
      <c r="L74" s="227"/>
      <c r="M74" s="21"/>
      <c r="N74" s="29"/>
      <c r="O74" s="26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</row>
    <row r="75" spans="1:131" s="7" customFormat="1" ht="26.45" customHeight="1" x14ac:dyDescent="0.25">
      <c r="A75" s="8"/>
      <c r="B75" s="2"/>
      <c r="D75" s="89" t="str">
        <f>IF('calcul prix séjour'!G11&gt;0,"Taux réduit appliqué",0)</f>
        <v>Taux réduit appliqué</v>
      </c>
      <c r="E75" s="90" t="b">
        <f>IF(R80=1,P83,IF(R80=2,P84,IF(R80=3,#REF!,IF(R80=4,#REF!))))</f>
        <v>0</v>
      </c>
      <c r="F75" s="91">
        <f>IF('calcul prix séjour'!G11&gt;0,'calcul prix séjour'!G11%,0)</f>
        <v>0.03</v>
      </c>
      <c r="H75" s="92" t="s">
        <v>8</v>
      </c>
      <c r="I75" s="92"/>
      <c r="J75" s="92"/>
      <c r="K75" s="229">
        <f>ROUNDDOWN(K74,1)</f>
        <v>275</v>
      </c>
      <c r="L75" s="229"/>
      <c r="M75" s="143"/>
      <c r="N75" s="29"/>
      <c r="O75" s="26"/>
      <c r="P75" s="30"/>
      <c r="Q75" s="30"/>
      <c r="R75" s="30"/>
      <c r="S75" s="45"/>
      <c r="T75" s="46"/>
      <c r="U75" s="30"/>
      <c r="V75" s="30"/>
      <c r="W75" s="30"/>
      <c r="X75" s="30"/>
      <c r="Y75" s="30"/>
      <c r="Z75" s="30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</row>
    <row r="76" spans="1:131" s="2" customFormat="1" ht="10.15" customHeight="1" x14ac:dyDescent="0.25">
      <c r="A76" s="29"/>
      <c r="B76" s="3"/>
      <c r="D76" s="5"/>
      <c r="E76" s="93"/>
      <c r="F76" s="5"/>
      <c r="G76" s="5"/>
      <c r="H76" s="5"/>
      <c r="I76" s="5"/>
      <c r="J76" s="5"/>
      <c r="K76" s="6"/>
      <c r="L76" s="6"/>
      <c r="M76" s="144"/>
      <c r="N76" s="29"/>
      <c r="O76" s="26"/>
      <c r="P76" s="30"/>
      <c r="Q76" s="30"/>
      <c r="R76" s="30"/>
      <c r="S76" s="47"/>
      <c r="T76" s="47"/>
      <c r="U76" s="30"/>
      <c r="V76" s="30"/>
      <c r="W76" s="30"/>
      <c r="X76" s="30"/>
      <c r="Y76" s="30"/>
      <c r="Z76" s="30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</row>
    <row r="77" spans="1:131" s="3" customFormat="1" ht="8.4499999999999993" customHeight="1" x14ac:dyDescent="0.25">
      <c r="A77" s="28"/>
      <c r="B77" s="1"/>
      <c r="D77" s="62"/>
      <c r="E77" s="62"/>
      <c r="F77" s="62"/>
      <c r="G77" s="62"/>
      <c r="H77" s="62"/>
      <c r="I77" s="62"/>
      <c r="J77" s="62"/>
      <c r="K77" s="8"/>
      <c r="L77" s="8"/>
      <c r="M77" s="8"/>
      <c r="N77" s="8"/>
      <c r="O77" s="48"/>
      <c r="P77" s="30"/>
      <c r="Q77" s="30"/>
      <c r="R77" s="49"/>
      <c r="S77" s="28"/>
      <c r="T77" s="44"/>
      <c r="U77" s="30"/>
      <c r="V77" s="30"/>
      <c r="W77" s="30"/>
      <c r="X77" s="30"/>
      <c r="Y77" s="30"/>
      <c r="Z77" s="30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/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/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</row>
    <row r="78" spans="1:131" s="1" customFormat="1" ht="18" customHeight="1" x14ac:dyDescent="0.25">
      <c r="A78" s="28"/>
      <c r="D78" s="94" t="s">
        <v>9</v>
      </c>
      <c r="E78" s="94"/>
      <c r="F78" s="95" t="e">
        <f>#REF!</f>
        <v>#REF!</v>
      </c>
      <c r="G78" s="10" t="e">
        <f>IF(F78=1,250,350)</f>
        <v>#REF!</v>
      </c>
      <c r="H78" s="23"/>
      <c r="I78" s="23"/>
      <c r="J78" s="23"/>
      <c r="K78" s="23"/>
      <c r="L78" s="23"/>
      <c r="M78" s="48"/>
      <c r="N78" s="8"/>
      <c r="O78" s="48"/>
      <c r="P78" s="30"/>
      <c r="Q78" s="30"/>
      <c r="R78" s="49"/>
      <c r="S78" s="28"/>
      <c r="T78" s="44"/>
      <c r="U78" s="28"/>
      <c r="V78" s="44"/>
      <c r="W78" s="44"/>
      <c r="X78" s="44"/>
      <c r="Y78" s="44"/>
      <c r="Z78" s="44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8"/>
      <c r="CA78" s="28"/>
      <c r="CB78" s="28"/>
      <c r="CC78" s="28"/>
      <c r="CD78" s="28"/>
      <c r="CE78" s="28"/>
      <c r="CF78" s="28"/>
      <c r="CG78" s="28"/>
      <c r="CH78" s="28"/>
      <c r="CI78" s="28"/>
      <c r="CJ78" s="28"/>
      <c r="CK78" s="28"/>
      <c r="CL78" s="28"/>
      <c r="CM78" s="28"/>
      <c r="CN78" s="28"/>
      <c r="CO78" s="28"/>
      <c r="CP78" s="28"/>
      <c r="CQ78" s="28"/>
      <c r="CR78" s="28"/>
      <c r="CS78" s="28"/>
      <c r="CT78" s="28"/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</row>
    <row r="79" spans="1:131" s="1" customFormat="1" ht="18" customHeight="1" x14ac:dyDescent="0.25">
      <c r="A79" s="28"/>
      <c r="B79" s="3"/>
      <c r="D79" s="10" t="e">
        <f>IF(F78&gt;0,250,0)</f>
        <v>#REF!</v>
      </c>
      <c r="E79" s="10"/>
      <c r="F79" s="11" t="s">
        <v>10</v>
      </c>
      <c r="G79" s="11"/>
      <c r="H79" s="12"/>
      <c r="I79" s="11"/>
      <c r="J79" s="13"/>
      <c r="K79" s="10"/>
      <c r="L79" s="10"/>
      <c r="M79" s="145"/>
      <c r="N79" s="28"/>
      <c r="O79" s="48"/>
      <c r="P79" s="8"/>
      <c r="Q79" s="8"/>
      <c r="R79" s="49"/>
      <c r="S79" s="28"/>
      <c r="T79" s="44"/>
      <c r="U79" s="28"/>
      <c r="V79" s="44"/>
      <c r="W79" s="44"/>
      <c r="X79" s="44"/>
      <c r="Y79" s="44"/>
      <c r="Z79" s="44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/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</row>
    <row r="80" spans="1:131" s="3" customFormat="1" ht="17.45" customHeight="1" x14ac:dyDescent="0.25">
      <c r="A80" s="28"/>
      <c r="D80" s="63"/>
      <c r="E80" s="63"/>
      <c r="F80" s="63"/>
      <c r="G80" s="63"/>
      <c r="H80" s="63"/>
      <c r="I80" s="63"/>
      <c r="J80" s="63"/>
      <c r="K80" s="63"/>
      <c r="L80" s="63"/>
      <c r="M80" s="146"/>
      <c r="N80" s="28"/>
      <c r="O80" s="48"/>
      <c r="P80" s="8"/>
      <c r="Q80" s="8"/>
      <c r="R80" s="49"/>
      <c r="S80" s="28"/>
      <c r="T80" s="44"/>
      <c r="U80" s="28"/>
      <c r="V80" s="44"/>
      <c r="W80" s="44"/>
      <c r="X80" s="44"/>
      <c r="Y80" s="44"/>
      <c r="Z80" s="44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</row>
    <row r="81" spans="1:131" s="3" customFormat="1" ht="17.45" customHeight="1" x14ac:dyDescent="0.25">
      <c r="A81" s="28"/>
      <c r="D81" s="63"/>
      <c r="E81" s="63"/>
      <c r="F81" s="63"/>
      <c r="G81" s="63"/>
      <c r="H81" s="63"/>
      <c r="I81" s="63"/>
      <c r="J81" s="63"/>
      <c r="K81" s="63"/>
      <c r="L81" s="63"/>
      <c r="M81" s="146"/>
      <c r="N81" s="28"/>
      <c r="O81" s="48"/>
      <c r="P81" s="8"/>
      <c r="Q81" s="8"/>
      <c r="R81" s="49"/>
      <c r="S81" s="44"/>
      <c r="T81" s="44"/>
      <c r="U81" s="44"/>
      <c r="V81" s="44"/>
      <c r="W81" s="44"/>
      <c r="X81" s="44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</row>
    <row r="82" spans="1:131" s="3" customFormat="1" ht="17.45" customHeight="1" x14ac:dyDescent="0.25">
      <c r="A82" s="28"/>
      <c r="D82" s="63"/>
      <c r="E82" s="63"/>
      <c r="F82" s="63"/>
      <c r="G82" s="63"/>
      <c r="H82" s="63"/>
      <c r="I82" s="63"/>
      <c r="J82" s="63"/>
      <c r="K82" s="63"/>
      <c r="L82" s="63"/>
      <c r="M82" s="146"/>
      <c r="N82" s="28"/>
      <c r="O82" s="48"/>
      <c r="P82" s="8"/>
      <c r="Q82" s="8"/>
      <c r="R82" s="49"/>
      <c r="S82" s="44"/>
      <c r="T82" s="44"/>
      <c r="U82" s="44"/>
      <c r="V82" s="44"/>
      <c r="W82" s="44"/>
      <c r="X82" s="44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</row>
    <row r="83" spans="1:131" s="3" customFormat="1" ht="17.45" hidden="1" customHeight="1" x14ac:dyDescent="0.25">
      <c r="A83" s="28"/>
      <c r="B83" s="2"/>
      <c r="D83" s="63"/>
      <c r="E83" s="64"/>
      <c r="F83" s="3">
        <f>SUM(AY84:BA84)</f>
        <v>7</v>
      </c>
      <c r="G83" s="64" t="s">
        <v>74</v>
      </c>
      <c r="H83" s="64"/>
      <c r="I83" s="64"/>
      <c r="J83" s="64"/>
      <c r="K83" s="64"/>
      <c r="L83" s="64"/>
      <c r="M83" s="147"/>
      <c r="N83" s="28"/>
      <c r="O83" s="48"/>
      <c r="P83" s="8"/>
      <c r="Q83" s="8"/>
      <c r="R83" s="49"/>
      <c r="S83" s="44"/>
      <c r="T83" s="44"/>
      <c r="U83" s="44"/>
      <c r="V83" s="44"/>
      <c r="W83" s="44"/>
      <c r="X83" s="44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</row>
    <row r="84" spans="1:131" s="2" customFormat="1" ht="16.149999999999999" hidden="1" customHeight="1" thickBot="1" x14ac:dyDescent="0.25">
      <c r="A84" s="29"/>
      <c r="M84" s="29"/>
      <c r="N84" s="28"/>
      <c r="O84" s="48"/>
      <c r="P84" s="8"/>
      <c r="Q84" s="8"/>
      <c r="R84" s="49"/>
      <c r="S84" s="30"/>
      <c r="T84" s="30"/>
      <c r="U84" s="44"/>
      <c r="V84" s="44"/>
      <c r="W84" s="44"/>
      <c r="X84" s="44"/>
      <c r="Y84" s="28"/>
      <c r="Z84" s="28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>
        <f>AZ86*7</f>
        <v>7</v>
      </c>
      <c r="BA84" s="31">
        <f>BA86</f>
        <v>0</v>
      </c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</row>
    <row r="85" spans="1:131" s="2" customFormat="1" ht="16.149999999999999" hidden="1" customHeight="1" thickTop="1" x14ac:dyDescent="0.25">
      <c r="A85" s="29"/>
      <c r="D85" s="228" t="s">
        <v>17</v>
      </c>
      <c r="E85" s="228"/>
      <c r="F85" s="228"/>
      <c r="G85" s="228" t="s">
        <v>18</v>
      </c>
      <c r="H85" s="228"/>
      <c r="I85" s="96" t="s">
        <v>47</v>
      </c>
      <c r="J85" s="97" t="s">
        <v>48</v>
      </c>
      <c r="K85" s="97"/>
      <c r="L85" s="97"/>
      <c r="M85" s="98"/>
      <c r="N85" s="98"/>
      <c r="O85" s="98" t="s">
        <v>49</v>
      </c>
      <c r="P85" s="98"/>
      <c r="Q85" s="98"/>
      <c r="R85" s="98"/>
      <c r="S85" s="98"/>
      <c r="T85" s="99" t="s">
        <v>50</v>
      </c>
      <c r="U85" s="30"/>
      <c r="V85" s="30"/>
      <c r="W85" s="30"/>
      <c r="X85" s="30"/>
      <c r="Y85" s="30"/>
      <c r="Z85" s="30"/>
      <c r="AA85" s="99"/>
      <c r="AB85" s="99" t="s">
        <v>52</v>
      </c>
      <c r="AC85" s="99"/>
      <c r="AD85" s="99"/>
      <c r="AE85" s="99"/>
      <c r="AF85" s="99" t="s">
        <v>53</v>
      </c>
      <c r="AG85" s="99"/>
      <c r="AH85" s="99"/>
      <c r="AI85" s="99"/>
      <c r="AJ85" s="226" t="s">
        <v>54</v>
      </c>
      <c r="AK85" s="226"/>
      <c r="AL85" s="226"/>
      <c r="AM85" s="226"/>
      <c r="AN85" s="226" t="s">
        <v>55</v>
      </c>
      <c r="AO85" s="226"/>
      <c r="AP85" s="226"/>
      <c r="AQ85" s="226"/>
      <c r="AR85" s="99"/>
      <c r="AS85" s="99"/>
      <c r="AT85" s="99"/>
      <c r="AU85" s="99"/>
      <c r="AV85" s="99"/>
      <c r="AW85" s="39"/>
      <c r="AX85" s="32" t="s">
        <v>35</v>
      </c>
      <c r="AY85" s="33" t="s">
        <v>56</v>
      </c>
      <c r="AZ85" s="33" t="s">
        <v>57</v>
      </c>
      <c r="BA85" s="34" t="s">
        <v>58</v>
      </c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</row>
    <row r="86" spans="1:131" s="2" customFormat="1" ht="16.149999999999999" hidden="1" customHeight="1" thickBot="1" x14ac:dyDescent="0.25">
      <c r="A86" s="29"/>
      <c r="D86" s="100">
        <f>F61</f>
        <v>46089</v>
      </c>
      <c r="E86" s="101">
        <f>DAY(D86)</f>
        <v>8</v>
      </c>
      <c r="F86" s="102">
        <f>MONTH(D86)</f>
        <v>3</v>
      </c>
      <c r="G86" s="100">
        <f>F62</f>
        <v>46096</v>
      </c>
      <c r="H86" s="102">
        <f>MONTH(G86)</f>
        <v>3</v>
      </c>
      <c r="I86" s="96">
        <f>DAYS360(D86,G86)</f>
        <v>7</v>
      </c>
      <c r="J86" s="103">
        <v>1</v>
      </c>
      <c r="K86" s="104">
        <f>IF(F86=J86,1,0)</f>
        <v>0</v>
      </c>
      <c r="L86" s="104">
        <f>IF(F86+H86=2,-1,0)</f>
        <v>0</v>
      </c>
      <c r="M86" s="98"/>
      <c r="N86" s="105">
        <f>K86+L86</f>
        <v>0</v>
      </c>
      <c r="O86" s="106">
        <v>2</v>
      </c>
      <c r="P86" s="98">
        <f>IF(F86=O86,-2,0)</f>
        <v>0</v>
      </c>
      <c r="Q86" s="98"/>
      <c r="R86" s="98">
        <f>IF(F86+H86=4,2,0)</f>
        <v>0</v>
      </c>
      <c r="S86" s="105">
        <f>P86+R86</f>
        <v>0</v>
      </c>
      <c r="T86" s="106">
        <v>3</v>
      </c>
      <c r="U86" s="99"/>
      <c r="V86" s="99"/>
      <c r="W86" s="99"/>
      <c r="X86" s="99" t="s">
        <v>51</v>
      </c>
      <c r="Y86" s="99"/>
      <c r="Z86" s="99"/>
      <c r="AA86" s="105">
        <f>Y87+Z87</f>
        <v>0</v>
      </c>
      <c r="AB86" s="106">
        <v>7</v>
      </c>
      <c r="AC86" s="98">
        <f>IF(F86=AB86,1,0)</f>
        <v>0</v>
      </c>
      <c r="AD86" s="98">
        <f>IF(F86+H86=14,-1,0)</f>
        <v>0</v>
      </c>
      <c r="AE86" s="105">
        <f>AC86+AD86</f>
        <v>0</v>
      </c>
      <c r="AF86" s="106">
        <v>8</v>
      </c>
      <c r="AG86" s="98">
        <f>IF(F86=AF86,1,0)</f>
        <v>0</v>
      </c>
      <c r="AH86" s="98">
        <f>IF(F86+H86=16,-1,0)</f>
        <v>0</v>
      </c>
      <c r="AI86" s="105">
        <f>AG86+AH86</f>
        <v>0</v>
      </c>
      <c r="AJ86" s="106">
        <v>10</v>
      </c>
      <c r="AK86" s="98">
        <f>IF(F86=AJ86,1,0)</f>
        <v>0</v>
      </c>
      <c r="AL86" s="98">
        <f>IF(F86+H86=20,-1,0)</f>
        <v>0</v>
      </c>
      <c r="AM86" s="105">
        <f>AK86+AL86</f>
        <v>0</v>
      </c>
      <c r="AN86" s="106">
        <v>12</v>
      </c>
      <c r="AO86" s="98">
        <f>IF(F86=AN86,1,0)</f>
        <v>0</v>
      </c>
      <c r="AP86" s="98">
        <f>IF(F86+H86=24,-1,0)</f>
        <v>0</v>
      </c>
      <c r="AQ86" s="105">
        <f>AO86+AP86</f>
        <v>0</v>
      </c>
      <c r="AR86" s="107">
        <f>IF(E86=28,1,0)</f>
        <v>0</v>
      </c>
      <c r="AS86" s="107">
        <f>IF(F86=2,1,0)</f>
        <v>0</v>
      </c>
      <c r="AT86" s="108">
        <f>SUM(AR86:AS86)</f>
        <v>0</v>
      </c>
      <c r="AU86" s="106">
        <f>IF(AT86=2,2,0)</f>
        <v>0</v>
      </c>
      <c r="AV86" s="109">
        <f>IF(E86=31,-1,0)</f>
        <v>0</v>
      </c>
      <c r="AW86" s="66">
        <f>SUM(N86,S86,W87,AA86,AE86,AI86,AM86,AQ86,AU86,AV86)</f>
        <v>0</v>
      </c>
      <c r="AX86" s="35">
        <f>I86+AW86</f>
        <v>7</v>
      </c>
      <c r="AY86" s="36">
        <f>ROUNDDOWN(AX86/30,0)</f>
        <v>0</v>
      </c>
      <c r="AZ86" s="36">
        <f>ROUNDDOWN(AX86/7,0)</f>
        <v>1</v>
      </c>
      <c r="BA86" s="37">
        <f>ROUNDDOWN(AX86-(7*AZ86),0)</f>
        <v>0</v>
      </c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</row>
    <row r="87" spans="1:131" s="2" customFormat="1" ht="16.149999999999999" hidden="1" customHeight="1" thickTop="1" x14ac:dyDescent="0.25">
      <c r="A87" s="29"/>
      <c r="M87" s="29"/>
      <c r="N87" s="29"/>
      <c r="O87" s="26"/>
      <c r="P87" s="30"/>
      <c r="Q87" s="30"/>
      <c r="R87" s="30"/>
      <c r="S87" s="30"/>
      <c r="T87" s="30"/>
      <c r="U87" s="98">
        <f>IF(F86=T86,1,0)</f>
        <v>1</v>
      </c>
      <c r="V87" s="98">
        <f>IF(F86+H86=6,-1,0)</f>
        <v>-1</v>
      </c>
      <c r="W87" s="105">
        <f>U87+V87</f>
        <v>0</v>
      </c>
      <c r="X87" s="106">
        <v>5</v>
      </c>
      <c r="Y87" s="98">
        <f>IF(F86=X87,1,0)</f>
        <v>0</v>
      </c>
      <c r="Z87" s="98">
        <f>IF(F86+H86=10,-1,0)</f>
        <v>0</v>
      </c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</row>
    <row r="88" spans="1:131" s="2" customFormat="1" ht="16.149999999999999" customHeight="1" x14ac:dyDescent="0.25">
      <c r="A88" s="29"/>
      <c r="B88" s="17"/>
      <c r="M88" s="29"/>
      <c r="N88" s="29"/>
      <c r="O88" s="26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</row>
    <row r="89" spans="1:131" ht="14.45" customHeight="1" x14ac:dyDescent="0.25">
      <c r="N89" s="26"/>
      <c r="O89" s="26"/>
      <c r="P89" s="26"/>
      <c r="Q89" s="26"/>
      <c r="R89" s="26"/>
      <c r="S89" s="26"/>
      <c r="T89" s="26"/>
      <c r="U89" s="30"/>
      <c r="V89" s="30"/>
      <c r="W89" s="30"/>
      <c r="X89" s="30"/>
      <c r="Y89" s="30"/>
      <c r="Z89" s="30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</row>
    <row r="90" spans="1:131" ht="14.45" customHeight="1" x14ac:dyDescent="0.25"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</row>
    <row r="91" spans="1:131" ht="14.45" customHeight="1" x14ac:dyDescent="0.25"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</row>
    <row r="92" spans="1:131" ht="14.45" customHeight="1" x14ac:dyDescent="0.25"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</row>
    <row r="93" spans="1:131" ht="14.45" customHeight="1" x14ac:dyDescent="0.25"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</row>
    <row r="94" spans="1:131" ht="14.45" customHeight="1" x14ac:dyDescent="0.25"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</row>
    <row r="95" spans="1:131" ht="14.45" customHeight="1" x14ac:dyDescent="0.25"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</row>
    <row r="96" spans="1:131" ht="14.45" customHeight="1" x14ac:dyDescent="0.25"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</row>
    <row r="97" spans="14:66" ht="14.45" customHeight="1" x14ac:dyDescent="0.25"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</row>
    <row r="98" spans="14:66" ht="14.45" customHeight="1" x14ac:dyDescent="0.25"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</row>
    <row r="99" spans="14:66" ht="14.45" customHeight="1" x14ac:dyDescent="0.25"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</row>
    <row r="100" spans="14:66" ht="14.45" customHeight="1" x14ac:dyDescent="0.25"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</row>
    <row r="101" spans="14:66" ht="14.45" customHeight="1" x14ac:dyDescent="0.25"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</row>
    <row r="102" spans="14:66" ht="14.45" customHeight="1" x14ac:dyDescent="0.25"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</row>
    <row r="103" spans="14:66" ht="14.45" customHeight="1" x14ac:dyDescent="0.25"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</row>
    <row r="104" spans="14:66" ht="14.45" customHeight="1" x14ac:dyDescent="0.25"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</row>
    <row r="105" spans="14:66" ht="14.45" customHeight="1" x14ac:dyDescent="0.25"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</row>
    <row r="106" spans="14:66" ht="14.45" customHeight="1" x14ac:dyDescent="0.25"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</row>
    <row r="107" spans="14:66" ht="14.45" customHeight="1" x14ac:dyDescent="0.25"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</row>
    <row r="108" spans="14:66" ht="14.45" customHeight="1" x14ac:dyDescent="0.25"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</row>
    <row r="109" spans="14:66" ht="14.45" customHeight="1" x14ac:dyDescent="0.25"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</row>
    <row r="110" spans="14:66" ht="14.45" customHeight="1" x14ac:dyDescent="0.25"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</row>
    <row r="111" spans="14:66" ht="14.45" customHeight="1" x14ac:dyDescent="0.25"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</row>
    <row r="112" spans="14:66" ht="14.45" customHeight="1" x14ac:dyDescent="0.25"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</row>
    <row r="113" spans="14:66" ht="14.45" customHeight="1" x14ac:dyDescent="0.25"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</row>
    <row r="114" spans="14:66" ht="14.45" customHeight="1" x14ac:dyDescent="0.25"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</row>
    <row r="115" spans="14:66" ht="14.45" customHeight="1" x14ac:dyDescent="0.25"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</row>
    <row r="116" spans="14:66" ht="14.45" customHeight="1" x14ac:dyDescent="0.25"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</row>
    <row r="117" spans="14:66" ht="14.45" customHeight="1" x14ac:dyDescent="0.25"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</row>
    <row r="118" spans="14:66" ht="14.45" customHeight="1" x14ac:dyDescent="0.25"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</row>
    <row r="119" spans="14:66" ht="14.45" customHeight="1" x14ac:dyDescent="0.25"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</row>
    <row r="120" spans="14:66" ht="14.45" customHeight="1" x14ac:dyDescent="0.25"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</row>
    <row r="121" spans="14:66" ht="14.45" customHeight="1" x14ac:dyDescent="0.25"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</row>
    <row r="122" spans="14:66" ht="14.45" customHeight="1" x14ac:dyDescent="0.25"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</row>
    <row r="123" spans="14:66" ht="14.45" customHeight="1" x14ac:dyDescent="0.25"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</row>
    <row r="124" spans="14:66" ht="14.45" customHeight="1" x14ac:dyDescent="0.25"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</row>
    <row r="125" spans="14:66" ht="14.45" customHeight="1" x14ac:dyDescent="0.25"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</row>
    <row r="126" spans="14:66" ht="14.45" customHeight="1" x14ac:dyDescent="0.25"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</row>
    <row r="127" spans="14:66" ht="14.45" customHeight="1" x14ac:dyDescent="0.25"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</row>
    <row r="128" spans="14:66" ht="14.45" customHeight="1" x14ac:dyDescent="0.25"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</row>
    <row r="129" spans="14:66" ht="14.45" customHeight="1" x14ac:dyDescent="0.25"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</row>
    <row r="130" spans="14:66" ht="14.45" customHeight="1" x14ac:dyDescent="0.25"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</row>
    <row r="131" spans="14:66" ht="14.45" customHeight="1" x14ac:dyDescent="0.25"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</row>
    <row r="132" spans="14:66" ht="14.45" customHeight="1" x14ac:dyDescent="0.25"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</row>
    <row r="133" spans="14:66" ht="14.45" customHeight="1" x14ac:dyDescent="0.25"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</row>
    <row r="134" spans="14:66" ht="14.45" customHeight="1" x14ac:dyDescent="0.25"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</row>
    <row r="135" spans="14:66" ht="14.45" customHeight="1" x14ac:dyDescent="0.25"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</row>
    <row r="136" spans="14:66" x14ac:dyDescent="0.25"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</row>
    <row r="137" spans="14:66" x14ac:dyDescent="0.25">
      <c r="N137" s="26"/>
      <c r="O137" s="26"/>
      <c r="P137" s="26"/>
      <c r="Q137" s="26"/>
      <c r="R137" s="26"/>
      <c r="S137" s="26"/>
      <c r="T137" s="26"/>
      <c r="U137" s="27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</row>
    <row r="138" spans="14:66" x14ac:dyDescent="0.25"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</row>
    <row r="139" spans="14:66" x14ac:dyDescent="0.25"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</row>
    <row r="140" spans="14:66" x14ac:dyDescent="0.25"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</row>
    <row r="141" spans="14:66" x14ac:dyDescent="0.25"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</row>
    <row r="142" spans="14:66" x14ac:dyDescent="0.25"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</row>
    <row r="143" spans="14:66" x14ac:dyDescent="0.25"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</row>
    <row r="144" spans="14:66" x14ac:dyDescent="0.25"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</row>
    <row r="145" spans="14:66" x14ac:dyDescent="0.25"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</row>
    <row r="146" spans="14:66" x14ac:dyDescent="0.25"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</row>
    <row r="147" spans="14:66" x14ac:dyDescent="0.25"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</row>
    <row r="148" spans="14:66" x14ac:dyDescent="0.25"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</row>
    <row r="149" spans="14:66" x14ac:dyDescent="0.25"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</row>
    <row r="150" spans="14:66" x14ac:dyDescent="0.25"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</row>
    <row r="151" spans="14:66" x14ac:dyDescent="0.25"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</row>
    <row r="152" spans="14:66" x14ac:dyDescent="0.25"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</row>
    <row r="153" spans="14:66" x14ac:dyDescent="0.25"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</row>
    <row r="154" spans="14:66" x14ac:dyDescent="0.25"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</row>
    <row r="155" spans="14:66" x14ac:dyDescent="0.25"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</row>
    <row r="156" spans="14:66" x14ac:dyDescent="0.25"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</row>
    <row r="157" spans="14:66" x14ac:dyDescent="0.25"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</row>
    <row r="158" spans="14:66" x14ac:dyDescent="0.25"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</row>
    <row r="159" spans="14:66" x14ac:dyDescent="0.25"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</row>
    <row r="160" spans="14:66" x14ac:dyDescent="0.25"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</row>
    <row r="161" spans="14:66" x14ac:dyDescent="0.25"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</row>
    <row r="162" spans="14:66" x14ac:dyDescent="0.25"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</row>
    <row r="163" spans="14:66" x14ac:dyDescent="0.25"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</row>
    <row r="164" spans="14:66" x14ac:dyDescent="0.25"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</row>
    <row r="165" spans="14:66" x14ac:dyDescent="0.25"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</row>
    <row r="166" spans="14:66" x14ac:dyDescent="0.25"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</row>
    <row r="167" spans="14:66" x14ac:dyDescent="0.25"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</row>
    <row r="168" spans="14:66" x14ac:dyDescent="0.25"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</row>
    <row r="169" spans="14:66" x14ac:dyDescent="0.25"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</row>
    <row r="170" spans="14:66" x14ac:dyDescent="0.25"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</row>
    <row r="171" spans="14:66" x14ac:dyDescent="0.25"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</row>
    <row r="172" spans="14:66" x14ac:dyDescent="0.25"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</row>
    <row r="173" spans="14:66" x14ac:dyDescent="0.25"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</row>
    <row r="174" spans="14:66" x14ac:dyDescent="0.25"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</row>
    <row r="175" spans="14:66" x14ac:dyDescent="0.25"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</row>
    <row r="176" spans="14:66" x14ac:dyDescent="0.25"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</row>
    <row r="177" spans="14:66" x14ac:dyDescent="0.25"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</row>
    <row r="178" spans="14:66" x14ac:dyDescent="0.25"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</row>
    <row r="179" spans="14:66" x14ac:dyDescent="0.25"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</row>
    <row r="180" spans="14:66" x14ac:dyDescent="0.25"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</row>
    <row r="181" spans="14:66" x14ac:dyDescent="0.25"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</row>
    <row r="182" spans="14:66" x14ac:dyDescent="0.25"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</row>
    <row r="183" spans="14:66" x14ac:dyDescent="0.25"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</row>
    <row r="184" spans="14:66" x14ac:dyDescent="0.25"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</row>
    <row r="185" spans="14:66" x14ac:dyDescent="0.25"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</row>
    <row r="186" spans="14:66" x14ac:dyDescent="0.25"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</row>
    <row r="187" spans="14:66" x14ac:dyDescent="0.25"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</row>
    <row r="188" spans="14:66" x14ac:dyDescent="0.25"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</row>
    <row r="189" spans="14:66" x14ac:dyDescent="0.25"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</row>
    <row r="190" spans="14:66" x14ac:dyDescent="0.25"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</row>
    <row r="191" spans="14:66" x14ac:dyDescent="0.25"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</row>
    <row r="192" spans="14:66" x14ac:dyDescent="0.25"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</row>
    <row r="193" spans="14:66" x14ac:dyDescent="0.25"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</row>
    <row r="194" spans="14:66" x14ac:dyDescent="0.25"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</row>
    <row r="195" spans="14:66" x14ac:dyDescent="0.25"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</row>
    <row r="196" spans="14:66" x14ac:dyDescent="0.25"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</row>
    <row r="197" spans="14:66" x14ac:dyDescent="0.25"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</row>
    <row r="198" spans="14:66" x14ac:dyDescent="0.25"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</row>
    <row r="199" spans="14:66" x14ac:dyDescent="0.25"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</row>
    <row r="200" spans="14:66" x14ac:dyDescent="0.25"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</row>
    <row r="201" spans="14:66" x14ac:dyDescent="0.25"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</row>
    <row r="202" spans="14:66" x14ac:dyDescent="0.25"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</row>
    <row r="203" spans="14:66" x14ac:dyDescent="0.25"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</row>
    <row r="204" spans="14:66" x14ac:dyDescent="0.25"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</row>
    <row r="205" spans="14:66" x14ac:dyDescent="0.25"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</row>
    <row r="206" spans="14:66" x14ac:dyDescent="0.25"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</row>
    <row r="207" spans="14:66" x14ac:dyDescent="0.25"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</row>
    <row r="208" spans="14:66" x14ac:dyDescent="0.25"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</row>
    <row r="209" spans="14:66" x14ac:dyDescent="0.25"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</row>
    <row r="210" spans="14:66" x14ac:dyDescent="0.25"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</row>
    <row r="211" spans="14:66" x14ac:dyDescent="0.25"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</row>
    <row r="212" spans="14:66" x14ac:dyDescent="0.25"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</row>
    <row r="213" spans="14:66" x14ac:dyDescent="0.25"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</row>
    <row r="214" spans="14:66" x14ac:dyDescent="0.25"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</row>
    <row r="215" spans="14:66" x14ac:dyDescent="0.25"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</row>
    <row r="216" spans="14:66" x14ac:dyDescent="0.25"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</row>
    <row r="217" spans="14:66" x14ac:dyDescent="0.25"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</row>
    <row r="218" spans="14:66" x14ac:dyDescent="0.25"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</row>
    <row r="219" spans="14:66" x14ac:dyDescent="0.25"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</row>
    <row r="220" spans="14:66" x14ac:dyDescent="0.25"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</row>
    <row r="221" spans="14:66" x14ac:dyDescent="0.25"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</row>
    <row r="222" spans="14:66" x14ac:dyDescent="0.25"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</row>
    <row r="223" spans="14:66" x14ac:dyDescent="0.25"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</row>
    <row r="224" spans="14:66" x14ac:dyDescent="0.25"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</row>
    <row r="225" spans="14:66" x14ac:dyDescent="0.25"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</row>
    <row r="226" spans="14:66" x14ac:dyDescent="0.25"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</row>
    <row r="227" spans="14:66" x14ac:dyDescent="0.25"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</row>
    <row r="228" spans="14:66" x14ac:dyDescent="0.25"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</row>
    <row r="229" spans="14:66" x14ac:dyDescent="0.25"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</row>
    <row r="230" spans="14:66" x14ac:dyDescent="0.25"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</row>
    <row r="231" spans="14:66" x14ac:dyDescent="0.25"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</row>
    <row r="232" spans="14:66" x14ac:dyDescent="0.25"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</row>
    <row r="233" spans="14:66" x14ac:dyDescent="0.25"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</row>
    <row r="234" spans="14:66" x14ac:dyDescent="0.25"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</row>
    <row r="235" spans="14:66" x14ac:dyDescent="0.25"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</row>
    <row r="236" spans="14:66" x14ac:dyDescent="0.25"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</row>
    <row r="237" spans="14:66" x14ac:dyDescent="0.25"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</row>
    <row r="238" spans="14:66" x14ac:dyDescent="0.25"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</row>
    <row r="239" spans="14:66" x14ac:dyDescent="0.25"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</row>
    <row r="240" spans="14:66" x14ac:dyDescent="0.25"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</row>
    <row r="241" spans="14:66" x14ac:dyDescent="0.25"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</row>
    <row r="242" spans="14:66" x14ac:dyDescent="0.25"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</row>
    <row r="243" spans="14:66" x14ac:dyDescent="0.25"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</row>
    <row r="244" spans="14:66" x14ac:dyDescent="0.25"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</row>
    <row r="245" spans="14:66" x14ac:dyDescent="0.25"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</row>
    <row r="246" spans="14:66" x14ac:dyDescent="0.25"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</row>
    <row r="247" spans="14:66" x14ac:dyDescent="0.25"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</row>
    <row r="248" spans="14:66" x14ac:dyDescent="0.25"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</row>
    <row r="249" spans="14:66" x14ac:dyDescent="0.25"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</row>
    <row r="250" spans="14:66" x14ac:dyDescent="0.25"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</row>
    <row r="251" spans="14:66" x14ac:dyDescent="0.25"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</row>
    <row r="252" spans="14:66" x14ac:dyDescent="0.25"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</row>
    <row r="253" spans="14:66" x14ac:dyDescent="0.25"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</row>
    <row r="254" spans="14:66" x14ac:dyDescent="0.25"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</row>
    <row r="255" spans="14:66" x14ac:dyDescent="0.25"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</row>
    <row r="256" spans="14:66" x14ac:dyDescent="0.25"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</row>
    <row r="257" spans="14:66" x14ac:dyDescent="0.25"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</row>
    <row r="258" spans="14:66" x14ac:dyDescent="0.25"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</row>
    <row r="259" spans="14:66" x14ac:dyDescent="0.25"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</row>
    <row r="260" spans="14:66" x14ac:dyDescent="0.25"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</row>
    <row r="261" spans="14:66" x14ac:dyDescent="0.25"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</row>
    <row r="262" spans="14:66" x14ac:dyDescent="0.25"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</row>
    <row r="263" spans="14:66" x14ac:dyDescent="0.25"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</row>
    <row r="264" spans="14:66" x14ac:dyDescent="0.25"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</row>
    <row r="265" spans="14:66" x14ac:dyDescent="0.25"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</row>
    <row r="266" spans="14:66" x14ac:dyDescent="0.25"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</row>
    <row r="267" spans="14:66" x14ac:dyDescent="0.25"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</row>
    <row r="268" spans="14:66" x14ac:dyDescent="0.25"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</row>
    <row r="269" spans="14:66" x14ac:dyDescent="0.25"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</row>
    <row r="270" spans="14:66" x14ac:dyDescent="0.25"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</row>
    <row r="271" spans="14:66" x14ac:dyDescent="0.25"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</row>
    <row r="272" spans="14:66" x14ac:dyDescent="0.25"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</row>
    <row r="273" spans="14:66" x14ac:dyDescent="0.25"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</row>
    <row r="274" spans="14:66" x14ac:dyDescent="0.25"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</row>
    <row r="275" spans="14:66" x14ac:dyDescent="0.25"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</row>
    <row r="276" spans="14:66" x14ac:dyDescent="0.25"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</row>
    <row r="277" spans="14:66" x14ac:dyDescent="0.25"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</row>
    <row r="278" spans="14:66" x14ac:dyDescent="0.25"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</row>
    <row r="279" spans="14:66" x14ac:dyDescent="0.25"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</row>
    <row r="280" spans="14:66" x14ac:dyDescent="0.25"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</row>
    <row r="281" spans="14:66" x14ac:dyDescent="0.25"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</row>
    <row r="282" spans="14:66" x14ac:dyDescent="0.25"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</row>
    <row r="283" spans="14:66" x14ac:dyDescent="0.25"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</row>
    <row r="284" spans="14:66" x14ac:dyDescent="0.25"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</row>
    <row r="285" spans="14:66" x14ac:dyDescent="0.25"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</row>
    <row r="286" spans="14:66" x14ac:dyDescent="0.25"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</row>
    <row r="287" spans="14:66" x14ac:dyDescent="0.25"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</row>
    <row r="288" spans="14:66" x14ac:dyDescent="0.25"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</row>
    <row r="289" spans="14:66" x14ac:dyDescent="0.25"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</row>
    <row r="290" spans="14:66" x14ac:dyDescent="0.25"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</row>
    <row r="291" spans="14:66" x14ac:dyDescent="0.25"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</row>
    <row r="292" spans="14:66" x14ac:dyDescent="0.25"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</row>
    <row r="293" spans="14:66" x14ac:dyDescent="0.25"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</row>
    <row r="294" spans="14:66" x14ac:dyDescent="0.25"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</row>
    <row r="295" spans="14:66" x14ac:dyDescent="0.25"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</row>
    <row r="296" spans="14:66" x14ac:dyDescent="0.25"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</row>
    <row r="297" spans="14:66" x14ac:dyDescent="0.25"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</row>
    <row r="298" spans="14:66" x14ac:dyDescent="0.25"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</row>
    <row r="299" spans="14:66" x14ac:dyDescent="0.25"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</row>
    <row r="300" spans="14:66" x14ac:dyDescent="0.25"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</row>
    <row r="301" spans="14:66" x14ac:dyDescent="0.25"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</row>
    <row r="302" spans="14:66" x14ac:dyDescent="0.25"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</row>
    <row r="303" spans="14:66" x14ac:dyDescent="0.25"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</row>
    <row r="304" spans="14:66" x14ac:dyDescent="0.25"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</row>
    <row r="305" spans="14:66" x14ac:dyDescent="0.25"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</row>
    <row r="306" spans="14:66" x14ac:dyDescent="0.25"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</row>
    <row r="307" spans="14:66" x14ac:dyDescent="0.25"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</row>
    <row r="308" spans="14:66" x14ac:dyDescent="0.25"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</row>
    <row r="309" spans="14:66" x14ac:dyDescent="0.25"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</row>
    <row r="310" spans="14:66" x14ac:dyDescent="0.25"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</row>
    <row r="311" spans="14:66" x14ac:dyDescent="0.25"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</row>
    <row r="312" spans="14:66" x14ac:dyDescent="0.25"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</row>
    <row r="313" spans="14:66" x14ac:dyDescent="0.25"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</row>
    <row r="314" spans="14:66" x14ac:dyDescent="0.25"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</row>
    <row r="315" spans="14:66" x14ac:dyDescent="0.25"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</row>
    <row r="316" spans="14:66" x14ac:dyDescent="0.25"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</row>
    <row r="317" spans="14:66" x14ac:dyDescent="0.25"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</row>
    <row r="318" spans="14:66" x14ac:dyDescent="0.25"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</row>
    <row r="319" spans="14:66" x14ac:dyDescent="0.25"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</row>
    <row r="320" spans="14:66" x14ac:dyDescent="0.25"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</row>
    <row r="321" spans="14:66" x14ac:dyDescent="0.25"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</row>
    <row r="322" spans="14:66" x14ac:dyDescent="0.25"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</row>
    <row r="323" spans="14:66" x14ac:dyDescent="0.25"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</row>
    <row r="324" spans="14:66" x14ac:dyDescent="0.25"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</row>
    <row r="325" spans="14:66" x14ac:dyDescent="0.25"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</row>
    <row r="326" spans="14:66" x14ac:dyDescent="0.25"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</row>
    <row r="327" spans="14:66" x14ac:dyDescent="0.25"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</row>
    <row r="328" spans="14:66" x14ac:dyDescent="0.25"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</row>
    <row r="329" spans="14:66" x14ac:dyDescent="0.25"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</row>
    <row r="330" spans="14:66" x14ac:dyDescent="0.25"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</row>
    <row r="331" spans="14:66" x14ac:dyDescent="0.25"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</row>
    <row r="332" spans="14:66" x14ac:dyDescent="0.25"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</row>
    <row r="333" spans="14:66" x14ac:dyDescent="0.25"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</row>
    <row r="334" spans="14:66" x14ac:dyDescent="0.25"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</row>
    <row r="335" spans="14:66" x14ac:dyDescent="0.25"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</row>
    <row r="336" spans="14:66" x14ac:dyDescent="0.25"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</row>
    <row r="337" spans="14:66" x14ac:dyDescent="0.25"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</row>
    <row r="338" spans="14:66" x14ac:dyDescent="0.25"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</row>
    <row r="339" spans="14:66" x14ac:dyDescent="0.25"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</row>
    <row r="340" spans="14:66" x14ac:dyDescent="0.25"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</row>
    <row r="341" spans="14:66" x14ac:dyDescent="0.25"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</row>
    <row r="342" spans="14:66" x14ac:dyDescent="0.25"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</row>
    <row r="343" spans="14:66" x14ac:dyDescent="0.25"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</row>
    <row r="344" spans="14:66" x14ac:dyDescent="0.25"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</row>
    <row r="345" spans="14:66" x14ac:dyDescent="0.25"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</row>
    <row r="346" spans="14:66" x14ac:dyDescent="0.25"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</row>
    <row r="347" spans="14:66" x14ac:dyDescent="0.25"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</row>
    <row r="348" spans="14:66" x14ac:dyDescent="0.25"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</row>
    <row r="349" spans="14:66" x14ac:dyDescent="0.25"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</row>
    <row r="350" spans="14:66" x14ac:dyDescent="0.25"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</row>
    <row r="351" spans="14:66" x14ac:dyDescent="0.25"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</row>
    <row r="352" spans="14:66" x14ac:dyDescent="0.25"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</row>
    <row r="353" spans="14:66" x14ac:dyDescent="0.25"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</row>
    <row r="354" spans="14:66" x14ac:dyDescent="0.25"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</row>
    <row r="355" spans="14:66" x14ac:dyDescent="0.25"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</row>
    <row r="356" spans="14:66" x14ac:dyDescent="0.25"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</row>
    <row r="357" spans="14:66" x14ac:dyDescent="0.25"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</row>
    <row r="358" spans="14:66" x14ac:dyDescent="0.25"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</row>
    <row r="359" spans="14:66" x14ac:dyDescent="0.25"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</row>
    <row r="360" spans="14:66" x14ac:dyDescent="0.25"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</row>
    <row r="361" spans="14:66" x14ac:dyDescent="0.25"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</row>
    <row r="362" spans="14:66" x14ac:dyDescent="0.25"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</row>
    <row r="363" spans="14:66" x14ac:dyDescent="0.25"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</row>
    <row r="364" spans="14:66" x14ac:dyDescent="0.25"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</row>
    <row r="365" spans="14:66" x14ac:dyDescent="0.25"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</row>
    <row r="366" spans="14:66" x14ac:dyDescent="0.25"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</row>
    <row r="367" spans="14:66" x14ac:dyDescent="0.25"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</row>
    <row r="368" spans="14:66" x14ac:dyDescent="0.25"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</row>
    <row r="369" spans="14:66" x14ac:dyDescent="0.25"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</row>
    <row r="370" spans="14:66" x14ac:dyDescent="0.25"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</row>
    <row r="371" spans="14:66" x14ac:dyDescent="0.25"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</row>
    <row r="372" spans="14:66" x14ac:dyDescent="0.25"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</row>
    <row r="373" spans="14:66" x14ac:dyDescent="0.25"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</row>
    <row r="374" spans="14:66" x14ac:dyDescent="0.25"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</row>
    <row r="375" spans="14:66" x14ac:dyDescent="0.25"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</row>
    <row r="376" spans="14:66" x14ac:dyDescent="0.25"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</row>
    <row r="377" spans="14:66" x14ac:dyDescent="0.25"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</row>
    <row r="378" spans="14:66" x14ac:dyDescent="0.25"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</row>
    <row r="379" spans="14:66" x14ac:dyDescent="0.25"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</row>
    <row r="380" spans="14:66" x14ac:dyDescent="0.25"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</row>
    <row r="381" spans="14:66" x14ac:dyDescent="0.25"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</row>
    <row r="382" spans="14:66" x14ac:dyDescent="0.25"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</row>
    <row r="383" spans="14:66" x14ac:dyDescent="0.25"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</row>
    <row r="384" spans="14:66" x14ac:dyDescent="0.25"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</row>
    <row r="385" spans="14:66" x14ac:dyDescent="0.25"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</row>
    <row r="386" spans="14:66" x14ac:dyDescent="0.25"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</row>
    <row r="387" spans="14:66" x14ac:dyDescent="0.25"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</row>
    <row r="388" spans="14:66" x14ac:dyDescent="0.25"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</row>
    <row r="389" spans="14:66" x14ac:dyDescent="0.25"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</row>
    <row r="390" spans="14:66" x14ac:dyDescent="0.25"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</row>
    <row r="391" spans="14:66" x14ac:dyDescent="0.25"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</row>
    <row r="392" spans="14:66" x14ac:dyDescent="0.25"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</row>
    <row r="393" spans="14:66" x14ac:dyDescent="0.25"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</row>
    <row r="394" spans="14:66" x14ac:dyDescent="0.25"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</row>
    <row r="395" spans="14:66" x14ac:dyDescent="0.25"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</row>
    <row r="396" spans="14:66" x14ac:dyDescent="0.25"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</row>
    <row r="397" spans="14:66" x14ac:dyDescent="0.25"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</row>
    <row r="398" spans="14:66" x14ac:dyDescent="0.25"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  <c r="BM398" s="26"/>
      <c r="BN398" s="26"/>
    </row>
    <row r="399" spans="14:66" x14ac:dyDescent="0.25"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</row>
    <row r="400" spans="14:66" x14ac:dyDescent="0.25"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</row>
    <row r="401" spans="14:66" x14ac:dyDescent="0.25"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</row>
    <row r="402" spans="14:66" x14ac:dyDescent="0.25"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</row>
    <row r="403" spans="14:66" x14ac:dyDescent="0.25"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</row>
    <row r="404" spans="14:66" x14ac:dyDescent="0.25"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</row>
    <row r="405" spans="14:66" x14ac:dyDescent="0.25"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</row>
    <row r="406" spans="14:66" x14ac:dyDescent="0.25"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</row>
    <row r="407" spans="14:66" x14ac:dyDescent="0.25"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</row>
    <row r="408" spans="14:66" x14ac:dyDescent="0.25"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</row>
    <row r="409" spans="14:66" x14ac:dyDescent="0.25"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</row>
    <row r="410" spans="14:66" x14ac:dyDescent="0.25"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</row>
    <row r="411" spans="14:66" x14ac:dyDescent="0.25"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</row>
    <row r="412" spans="14:66" x14ac:dyDescent="0.25"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</row>
    <row r="413" spans="14:66" x14ac:dyDescent="0.25"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</row>
    <row r="414" spans="14:66" x14ac:dyDescent="0.25"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</row>
    <row r="415" spans="14:66" x14ac:dyDescent="0.25"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</row>
    <row r="416" spans="14:66" x14ac:dyDescent="0.25"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</row>
    <row r="417" spans="14:66" x14ac:dyDescent="0.25"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</row>
    <row r="418" spans="14:66" x14ac:dyDescent="0.25"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/>
    </row>
    <row r="419" spans="14:66" x14ac:dyDescent="0.25"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</row>
    <row r="420" spans="14:66" x14ac:dyDescent="0.25"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</row>
    <row r="421" spans="14:66" x14ac:dyDescent="0.25"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</row>
    <row r="422" spans="14:66" x14ac:dyDescent="0.25"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</row>
    <row r="423" spans="14:66" x14ac:dyDescent="0.25"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</row>
    <row r="424" spans="14:66" x14ac:dyDescent="0.25"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</row>
    <row r="425" spans="14:66" x14ac:dyDescent="0.25"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</row>
    <row r="426" spans="14:66" x14ac:dyDescent="0.25"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</row>
    <row r="427" spans="14:66" x14ac:dyDescent="0.25"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</row>
    <row r="428" spans="14:66" x14ac:dyDescent="0.25"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</row>
    <row r="429" spans="14:66" x14ac:dyDescent="0.25"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</row>
    <row r="430" spans="14:66" x14ac:dyDescent="0.25"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</row>
    <row r="431" spans="14:66" x14ac:dyDescent="0.25"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</row>
    <row r="432" spans="14:66" x14ac:dyDescent="0.25"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</row>
    <row r="433" spans="14:66" x14ac:dyDescent="0.25"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</row>
    <row r="434" spans="14:66" x14ac:dyDescent="0.25"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</row>
    <row r="435" spans="14:66" x14ac:dyDescent="0.25"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</row>
    <row r="436" spans="14:66" x14ac:dyDescent="0.25"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/>
    </row>
    <row r="437" spans="14:66" x14ac:dyDescent="0.25"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</row>
    <row r="438" spans="14:66" x14ac:dyDescent="0.25"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</row>
    <row r="439" spans="14:66" x14ac:dyDescent="0.25"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</row>
    <row r="440" spans="14:66" x14ac:dyDescent="0.25"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</row>
    <row r="441" spans="14:66" x14ac:dyDescent="0.25"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</row>
    <row r="442" spans="14:66" x14ac:dyDescent="0.25"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</row>
    <row r="443" spans="14:66" x14ac:dyDescent="0.25"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</row>
    <row r="444" spans="14:66" x14ac:dyDescent="0.25"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</row>
    <row r="445" spans="14:66" x14ac:dyDescent="0.25"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</row>
    <row r="446" spans="14:66" x14ac:dyDescent="0.25"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</row>
    <row r="447" spans="14:66" x14ac:dyDescent="0.25"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</row>
    <row r="448" spans="14:66" x14ac:dyDescent="0.25"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</row>
    <row r="449" spans="14:66" x14ac:dyDescent="0.25"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/>
      <c r="BN449" s="26"/>
    </row>
    <row r="450" spans="14:66" x14ac:dyDescent="0.25"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</row>
    <row r="451" spans="14:66" x14ac:dyDescent="0.25"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</row>
    <row r="452" spans="14:66" x14ac:dyDescent="0.25"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/>
    </row>
    <row r="453" spans="14:66" x14ac:dyDescent="0.25"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</row>
    <row r="454" spans="14:66" x14ac:dyDescent="0.25"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  <c r="BL454" s="26"/>
      <c r="BM454" s="26"/>
      <c r="BN454" s="26"/>
    </row>
    <row r="455" spans="14:66" x14ac:dyDescent="0.25"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/>
    </row>
    <row r="456" spans="14:66" x14ac:dyDescent="0.25"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/>
    </row>
    <row r="457" spans="14:66" x14ac:dyDescent="0.25"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</row>
    <row r="458" spans="14:66" x14ac:dyDescent="0.25"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</row>
    <row r="459" spans="14:66" x14ac:dyDescent="0.25"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  <c r="BM459" s="26"/>
      <c r="BN459" s="26"/>
    </row>
    <row r="460" spans="14:66" x14ac:dyDescent="0.25"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  <c r="BL460" s="26"/>
      <c r="BM460" s="26"/>
      <c r="BN460" s="26"/>
    </row>
    <row r="461" spans="14:66" x14ac:dyDescent="0.25"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</row>
    <row r="462" spans="14:66" x14ac:dyDescent="0.25"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</row>
    <row r="463" spans="14:66" x14ac:dyDescent="0.25"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</row>
    <row r="464" spans="14:66" x14ac:dyDescent="0.25"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/>
      <c r="BN464" s="26"/>
    </row>
    <row r="465" spans="14:66" x14ac:dyDescent="0.25"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</row>
    <row r="466" spans="14:66" x14ac:dyDescent="0.25"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</row>
    <row r="467" spans="14:66" x14ac:dyDescent="0.25"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</row>
    <row r="468" spans="14:66" x14ac:dyDescent="0.25"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</row>
    <row r="469" spans="14:66" x14ac:dyDescent="0.25">
      <c r="U469" s="26"/>
      <c r="V469" s="26"/>
      <c r="W469" s="26"/>
      <c r="X469" s="26"/>
      <c r="Y469" s="26"/>
      <c r="Z469" s="26"/>
    </row>
  </sheetData>
  <sheetProtection algorithmName="SHA-512" hashValue="bl2fS8tTn7MCRWBfROFg4pwZLniC3xyrKaUC2HYUEvMmq8CvmlP0wuag6F77rnHTrbH+PL5OW0LVWp5N2x/fwA==" saltValue="hGIwlqjLs0C6Z8JfjCJ46A==" spinCount="100000" sheet="1" objects="1" scenarios="1"/>
  <mergeCells count="71">
    <mergeCell ref="I12:J12"/>
    <mergeCell ref="N7:Q7"/>
    <mergeCell ref="C31:D31"/>
    <mergeCell ref="C9:E9"/>
    <mergeCell ref="C30:D30"/>
    <mergeCell ref="N8:Q8"/>
    <mergeCell ref="N18:Q18"/>
    <mergeCell ref="O12:O14"/>
    <mergeCell ref="P13:Q13"/>
    <mergeCell ref="N9:P9"/>
    <mergeCell ref="C7:E7"/>
    <mergeCell ref="P11:Q11"/>
    <mergeCell ref="P12:Q12"/>
    <mergeCell ref="N15:Q15"/>
    <mergeCell ref="C16:E16"/>
    <mergeCell ref="C20:D20"/>
    <mergeCell ref="N22:Q22"/>
    <mergeCell ref="AJ85:AM85"/>
    <mergeCell ref="AN85:AQ85"/>
    <mergeCell ref="K74:L74"/>
    <mergeCell ref="D62:E62"/>
    <mergeCell ref="D85:F85"/>
    <mergeCell ref="G85:H85"/>
    <mergeCell ref="L64:L65"/>
    <mergeCell ref="D64:E65"/>
    <mergeCell ref="K75:L75"/>
    <mergeCell ref="D66:E66"/>
    <mergeCell ref="D73:E73"/>
    <mergeCell ref="F74:H74"/>
    <mergeCell ref="D69:E69"/>
    <mergeCell ref="D67:E67"/>
    <mergeCell ref="F67:F68"/>
    <mergeCell ref="D68:E68"/>
    <mergeCell ref="K64:K65"/>
    <mergeCell ref="C25:D25"/>
    <mergeCell ref="C24:D24"/>
    <mergeCell ref="C49:D49"/>
    <mergeCell ref="C37:D37"/>
    <mergeCell ref="C39:H39"/>
    <mergeCell ref="C42:H42"/>
    <mergeCell ref="C46:D46"/>
    <mergeCell ref="C48:D48"/>
    <mergeCell ref="F64:F65"/>
    <mergeCell ref="F61:H61"/>
    <mergeCell ref="D61:E61"/>
    <mergeCell ref="F62:H62"/>
    <mergeCell ref="N19:Q19"/>
    <mergeCell ref="N20:Q20"/>
    <mergeCell ref="N21:Q21"/>
    <mergeCell ref="N12:N14"/>
    <mergeCell ref="N16:Q16"/>
    <mergeCell ref="N17:Q17"/>
    <mergeCell ref="A1:AS1"/>
    <mergeCell ref="N4:O4"/>
    <mergeCell ref="P4:Q4"/>
    <mergeCell ref="P6:Q6"/>
    <mergeCell ref="N6:O6"/>
    <mergeCell ref="C6:D6"/>
    <mergeCell ref="U4:AL4"/>
    <mergeCell ref="U3:AL3"/>
    <mergeCell ref="N3:Q3"/>
    <mergeCell ref="N5:Q5"/>
    <mergeCell ref="W18:Z18"/>
    <mergeCell ref="W19:Z19"/>
    <mergeCell ref="U17:Z17"/>
    <mergeCell ref="U21:V21"/>
    <mergeCell ref="U18:V18"/>
    <mergeCell ref="U19:V19"/>
    <mergeCell ref="W21:Z21"/>
    <mergeCell ref="U20:V20"/>
    <mergeCell ref="W20:Z20"/>
  </mergeCells>
  <conditionalFormatting sqref="D75:F75">
    <cfRule type="cellIs" dxfId="46" priority="60" operator="equal">
      <formula>0</formula>
    </cfRule>
    <cfRule type="cellIs" dxfId="45" priority="59" operator="greaterThan">
      <formula>0</formula>
    </cfRule>
  </conditionalFormatting>
  <conditionalFormatting sqref="D86:I86">
    <cfRule type="cellIs" dxfId="44" priority="25" operator="equal">
      <formula>0</formula>
    </cfRule>
  </conditionalFormatting>
  <conditionalFormatting sqref="E75">
    <cfRule type="cellIs" dxfId="43" priority="17" operator="equal">
      <formula>FALSE</formula>
    </cfRule>
    <cfRule type="cellIs" dxfId="42" priority="18" operator="equal">
      <formula>0</formula>
    </cfRule>
    <cfRule type="cellIs" dxfId="41" priority="19" operator="equal">
      <formula>0</formula>
    </cfRule>
    <cfRule type="cellIs" dxfId="40" priority="20" operator="equal">
      <formula>FALSE</formula>
    </cfRule>
    <cfRule type="cellIs" dxfId="39" priority="21" operator="equal">
      <formula>FALSE</formula>
    </cfRule>
  </conditionalFormatting>
  <conditionalFormatting sqref="E75:E76 F67">
    <cfRule type="cellIs" dxfId="38" priority="65" operator="equal">
      <formula>"normale"</formula>
    </cfRule>
    <cfRule type="cellIs" dxfId="37" priority="63" operator="equal">
      <formula>"basse"</formula>
    </cfRule>
    <cfRule type="cellIs" dxfId="36" priority="62" operator="equal">
      <formula>"haute"</formula>
    </cfRule>
    <cfRule type="cellIs" dxfId="35" priority="61" operator="equal">
      <formula>"très haute"</formula>
    </cfRule>
  </conditionalFormatting>
  <conditionalFormatting sqref="E30:H30">
    <cfRule type="cellIs" dxfId="34" priority="6" operator="equal">
      <formula>1</formula>
    </cfRule>
    <cfRule type="cellIs" dxfId="33" priority="2" operator="equal">
      <formula>4</formula>
    </cfRule>
    <cfRule type="cellIs" dxfId="32" priority="3" operator="equal">
      <formula>3</formula>
    </cfRule>
    <cfRule type="cellIs" dxfId="31" priority="4" operator="equal">
      <formula>3</formula>
    </cfRule>
    <cfRule type="cellIs" dxfId="30" priority="5" operator="equal">
      <formula>2</formula>
    </cfRule>
  </conditionalFormatting>
  <conditionalFormatting sqref="F66">
    <cfRule type="cellIs" dxfId="29" priority="66" operator="equal">
      <formula>4</formula>
    </cfRule>
    <cfRule type="cellIs" dxfId="28" priority="67" operator="equal">
      <formula>3</formula>
    </cfRule>
    <cfRule type="cellIs" dxfId="27" priority="68" operator="equal">
      <formula>3</formula>
    </cfRule>
    <cfRule type="cellIs" dxfId="26" priority="69" operator="equal">
      <formula>2</formula>
    </cfRule>
    <cfRule type="cellIs" dxfId="25" priority="70" operator="equal">
      <formula>1</formula>
    </cfRule>
  </conditionalFormatting>
  <conditionalFormatting sqref="F67 E75:E76">
    <cfRule type="cellIs" dxfId="24" priority="64" operator="equal">
      <formula>"basse"</formula>
    </cfRule>
  </conditionalFormatting>
  <conditionalFormatting sqref="G66:H73 I70:J73 I66:J68">
    <cfRule type="cellIs" dxfId="23" priority="49" operator="equal">
      <formula>0</formula>
    </cfRule>
  </conditionalFormatting>
  <conditionalFormatting sqref="G70:I72 J65:J73 G73">
    <cfRule type="cellIs" dxfId="22" priority="51" operator="greaterThan">
      <formula>0</formula>
    </cfRule>
  </conditionalFormatting>
  <conditionalFormatting sqref="G73:J73">
    <cfRule type="cellIs" dxfId="21" priority="26" operator="equal">
      <formula>0</formula>
    </cfRule>
  </conditionalFormatting>
  <conditionalFormatting sqref="H65:H73">
    <cfRule type="cellIs" dxfId="20" priority="53" operator="greaterThan">
      <formula>0</formula>
    </cfRule>
  </conditionalFormatting>
  <conditionalFormatting sqref="H66:H68 G69:H73 I70:J73 G65:G68">
    <cfRule type="cellIs" dxfId="19" priority="54" operator="greaterThan">
      <formula>0</formula>
    </cfRule>
  </conditionalFormatting>
  <conditionalFormatting sqref="H66:H73">
    <cfRule type="cellIs" dxfId="18" priority="47" operator="greaterThan">
      <formula>0</formula>
    </cfRule>
    <cfRule type="cellIs" dxfId="17" priority="48" operator="greaterThan">
      <formula>0</formula>
    </cfRule>
  </conditionalFormatting>
  <conditionalFormatting sqref="H66:J73 G70:H73 E74">
    <cfRule type="cellIs" dxfId="16" priority="45" operator="equal">
      <formula>0</formula>
    </cfRule>
  </conditionalFormatting>
  <conditionalFormatting sqref="I65:I73">
    <cfRule type="cellIs" dxfId="15" priority="52" operator="greaterThan">
      <formula>0</formula>
    </cfRule>
  </conditionalFormatting>
  <conditionalFormatting sqref="I69:I73 J73">
    <cfRule type="cellIs" dxfId="14" priority="43" operator="greaterThan">
      <formula>0</formula>
    </cfRule>
  </conditionalFormatting>
  <conditionalFormatting sqref="I66:J68 G66:H73 I70:J73">
    <cfRule type="cellIs" dxfId="13" priority="50" operator="equal">
      <formula>0</formula>
    </cfRule>
  </conditionalFormatting>
  <conditionalFormatting sqref="J73 G73">
    <cfRule type="cellIs" dxfId="12" priority="30" operator="greaterThan">
      <formula>0</formula>
    </cfRule>
  </conditionalFormatting>
  <conditionalFormatting sqref="J73 I69:I73">
    <cfRule type="cellIs" dxfId="11" priority="42" operator="greaterThan">
      <formula>0</formula>
    </cfRule>
  </conditionalFormatting>
  <conditionalFormatting sqref="J73">
    <cfRule type="cellIs" dxfId="10" priority="15" operator="greaterThan">
      <formula>0</formula>
    </cfRule>
    <cfRule type="cellIs" dxfId="9" priority="14" operator="greaterThan">
      <formula>0</formula>
    </cfRule>
  </conditionalFormatting>
  <conditionalFormatting sqref="K66:K73 G69:J73">
    <cfRule type="cellIs" dxfId="8" priority="31" operator="equal">
      <formula>0</formula>
    </cfRule>
  </conditionalFormatting>
  <conditionalFormatting sqref="O12:O14">
    <cfRule type="cellIs" dxfId="7" priority="13" operator="equal">
      <formula>1</formula>
    </cfRule>
    <cfRule type="cellIs" dxfId="6" priority="12" operator="equal">
      <formula>2</formula>
    </cfRule>
    <cfRule type="cellIs" dxfId="5" priority="11" operator="equal">
      <formula>2</formula>
    </cfRule>
    <cfRule type="cellIs" dxfId="4" priority="7" operator="equal">
      <formula>4</formula>
    </cfRule>
    <cfRule type="cellIs" dxfId="3" priority="1" operator="equal">
      <formula>3</formula>
    </cfRule>
  </conditionalFormatting>
  <conditionalFormatting sqref="AV17">
    <cfRule type="cellIs" dxfId="2" priority="8" operator="equal">
      <formula>4</formula>
    </cfRule>
  </conditionalFormatting>
  <conditionalFormatting sqref="AW19">
    <cfRule type="cellIs" dxfId="1" priority="9" operator="equal">
      <formula>3</formula>
    </cfRule>
  </conditionalFormatting>
  <conditionalFormatting sqref="AX86">
    <cfRule type="cellIs" dxfId="0" priority="24" operator="greaterThan">
      <formula>0</formula>
    </cfRule>
  </conditionalFormatting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 prix séjour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Utilisateur</cp:lastModifiedBy>
  <cp:lastPrinted>2017-12-23T08:11:21Z</cp:lastPrinted>
  <dcterms:created xsi:type="dcterms:W3CDTF">2017-03-07T17:28:45Z</dcterms:created>
  <dcterms:modified xsi:type="dcterms:W3CDTF">2025-12-10T09:37:33Z</dcterms:modified>
</cp:coreProperties>
</file>